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315" activeTab="0"/>
  </bookViews>
  <sheets>
    <sheet name="Расчет" sheetId="1" r:id="rId1"/>
    <sheet name="Диаграмма" sheetId="2" r:id="rId2"/>
    <sheet name="Справка" sheetId="3" r:id="rId3"/>
    <sheet name="Пример" sheetId="4" r:id="rId4"/>
    <sheet name="-" sheetId="5" r:id="rId5"/>
  </sheets>
  <definedNames>
    <definedName name="Hchladice">'Расчет'!$Q$6</definedName>
    <definedName name="MaxVlhkost">'Расчет'!$M$2</definedName>
    <definedName name="Tchladice">'Расчет'!$K$3</definedName>
    <definedName name="Tlak_vzduchu">'Расчет'!$K$1</definedName>
    <definedName name="xchladice">'Расчет'!$Q$4</definedName>
    <definedName name="_xlnm.Print_Area" localSheetId="1">'Диаграмма'!$A:$IV</definedName>
  </definedNames>
  <calcPr fullCalcOnLoad="1"/>
</workbook>
</file>

<file path=xl/sharedStrings.xml><?xml version="1.0" encoding="utf-8"?>
<sst xmlns="http://schemas.openxmlformats.org/spreadsheetml/2006/main" count="383" uniqueCount="147">
  <si>
    <t>t</t>
  </si>
  <si>
    <t>j</t>
  </si>
  <si>
    <t>x</t>
  </si>
  <si>
    <t>h</t>
  </si>
  <si>
    <t>°C</t>
  </si>
  <si>
    <t>%</t>
  </si>
  <si>
    <t>g/kg s.v.</t>
  </si>
  <si>
    <t>kJ/kg s.v.</t>
  </si>
  <si>
    <t>y</t>
  </si>
  <si>
    <t>p"d</t>
  </si>
  <si>
    <t>Pa</t>
  </si>
  <si>
    <t>kPa</t>
  </si>
  <si>
    <t>Křivky diagramu:</t>
  </si>
  <si>
    <t>Izotermy</t>
  </si>
  <si>
    <t>t=</t>
  </si>
  <si>
    <t>x=</t>
  </si>
  <si>
    <t>y=</t>
  </si>
  <si>
    <t>Izoentalpy</t>
  </si>
  <si>
    <t>h=</t>
  </si>
  <si>
    <t>fi=</t>
  </si>
  <si>
    <t>Křivky konstatní vlhkosti</t>
  </si>
  <si>
    <t>V</t>
  </si>
  <si>
    <t>m3/h</t>
  </si>
  <si>
    <t>m3/s</t>
  </si>
  <si>
    <t>r</t>
  </si>
  <si>
    <t>tv</t>
  </si>
  <si>
    <t>kg/m3</t>
  </si>
  <si>
    <t>P</t>
  </si>
  <si>
    <t>kW</t>
  </si>
  <si>
    <t>qw</t>
  </si>
  <si>
    <t>kg/h</t>
  </si>
  <si>
    <t>pd"</t>
  </si>
  <si>
    <t>fi</t>
  </si>
  <si>
    <t>t-&gt;</t>
  </si>
  <si>
    <t>x-&gt;</t>
  </si>
  <si>
    <t>g/kg</t>
  </si>
  <si>
    <t>-</t>
  </si>
  <si>
    <t>x1</t>
  </si>
  <si>
    <t>x2</t>
  </si>
  <si>
    <t>x-x</t>
  </si>
  <si>
    <t>t1</t>
  </si>
  <si>
    <t>t2</t>
  </si>
  <si>
    <t>O</t>
  </si>
  <si>
    <t>C</t>
  </si>
  <si>
    <t>č.</t>
  </si>
  <si>
    <t>A</t>
  </si>
  <si>
    <t>S</t>
  </si>
  <si>
    <t>?</t>
  </si>
  <si>
    <t>Konec</t>
  </si>
  <si>
    <t>Body pro graf</t>
  </si>
  <si>
    <t>bod</t>
  </si>
  <si>
    <t xml:space="preserve">Ctrl+D </t>
  </si>
  <si>
    <t xml:space="preserve">Ctrl+P </t>
  </si>
  <si>
    <t>o</t>
  </si>
  <si>
    <t>X</t>
  </si>
  <si>
    <t>a</t>
  </si>
  <si>
    <t>Vn</t>
  </si>
  <si>
    <t>Vs</t>
  </si>
  <si>
    <t>c</t>
  </si>
  <si>
    <t>p</t>
  </si>
  <si>
    <t>[O,C,A,P,S,X]</t>
  </si>
  <si>
    <t>Позиция</t>
  </si>
  <si>
    <t>Температура</t>
  </si>
  <si>
    <t>Влажность</t>
  </si>
  <si>
    <t>Расход</t>
  </si>
  <si>
    <t>Энтальпия</t>
  </si>
  <si>
    <t>Мощность</t>
  </si>
  <si>
    <t>Влагосодержание</t>
  </si>
  <si>
    <t>Процесс</t>
  </si>
  <si>
    <t>Исходные данные</t>
  </si>
  <si>
    <t>Результат</t>
  </si>
  <si>
    <t>Тем.влажн.терм.</t>
  </si>
  <si>
    <t>Плотность</t>
  </si>
  <si>
    <t>Расход*</t>
  </si>
  <si>
    <t>Влагоприток</t>
  </si>
  <si>
    <t>Атмосферное давление:</t>
  </si>
  <si>
    <t>Maкс. допустимая влажность:</t>
  </si>
  <si>
    <t>Температура хладоносителя:</t>
  </si>
  <si>
    <t>Расчет i-d диаграммы</t>
  </si>
  <si>
    <t>Макс. Допустимая влажность:</t>
  </si>
  <si>
    <t>Темп.влажн.терм</t>
  </si>
  <si>
    <t>Охлаждение</t>
  </si>
  <si>
    <t>Зима</t>
  </si>
  <si>
    <t>Лето</t>
  </si>
  <si>
    <t>Смешение</t>
  </si>
  <si>
    <t>Пароувлажнение</t>
  </si>
  <si>
    <t>Принятые сокращения:</t>
  </si>
  <si>
    <t>Обогр</t>
  </si>
  <si>
    <t>Ад.охл</t>
  </si>
  <si>
    <t>Охлаж.</t>
  </si>
  <si>
    <t>Пароув</t>
  </si>
  <si>
    <t>Проверка ввода</t>
  </si>
  <si>
    <t>Весовой расход</t>
  </si>
  <si>
    <t>кг/с</t>
  </si>
  <si>
    <t>Нагрев</t>
  </si>
  <si>
    <t>Адиабатическое охлаждение</t>
  </si>
  <si>
    <t>Отн. влажность</t>
  </si>
  <si>
    <t>Абс. влажность</t>
  </si>
  <si>
    <t>Процесс 1 - 
нагрев</t>
  </si>
  <si>
    <t>Процесс 2 - 
охлаждение</t>
  </si>
  <si>
    <t>Процесс 4 - 
пароувлажнение</t>
  </si>
  <si>
    <t>Процесс 5 - 
смешение</t>
  </si>
  <si>
    <t>Процесс 6 - 
общий</t>
  </si>
  <si>
    <t>Общий процесс</t>
  </si>
  <si>
    <t>Процесс 3 - 
адиабатическое охлаждение</t>
  </si>
  <si>
    <t>Индекс процесса</t>
  </si>
  <si>
    <t>Контрольная 
сумма</t>
  </si>
  <si>
    <t>Ошибка</t>
  </si>
  <si>
    <t>Присвоенные 
значения</t>
  </si>
  <si>
    <t>Конец</t>
  </si>
  <si>
    <t>Известны t,x</t>
  </si>
  <si>
    <t>Известны t,h</t>
  </si>
  <si>
    <t>Известны t,fi</t>
  </si>
  <si>
    <t>Известны h,x</t>
  </si>
  <si>
    <t>Известны fi,x</t>
  </si>
  <si>
    <t>Известны fi,h</t>
  </si>
  <si>
    <t>Расчет t,x</t>
  </si>
  <si>
    <t>предельное 
значение при t</t>
  </si>
  <si>
    <t>температура 
влажного 
термометра</t>
  </si>
  <si>
    <t>x соответствующее заданному h</t>
  </si>
  <si>
    <t>pd" на пов. испарителя</t>
  </si>
  <si>
    <t>x на пов. испарителя</t>
  </si>
  <si>
    <t>Вводится заданная конечная температура, либо заданная тепловая мощность.</t>
  </si>
  <si>
    <t>Вводится заданная конечная относительная влажность, либо абсолютная влажность, либо температура.</t>
  </si>
  <si>
    <t>Вводится заданная конечная относительная влажность, либо абсолютная влажность.</t>
  </si>
  <si>
    <t xml:space="preserve">Вводится заданная конечная температура, либо заданная холодильная мощность.  Интенсивность осушения воздуха определяется заданной температурой поверхности испарителя. Ход процесса зависит от максимально допустимого влагосодержания. Если расчетно-теоретическое влагосодержание превышает максимально допустимое, то образуется конденсат, в результате чего влагосодержание снижается. Заданные параметры (мощность или конечная температура) остаются при этом неизменными. </t>
  </si>
  <si>
    <r>
      <t xml:space="preserve">Вводятся значения двух параметров из четырех (t, </t>
    </r>
    <r>
      <rPr>
        <sz val="10"/>
        <rFont val="Symbol"/>
        <family val="1"/>
      </rPr>
      <t>j</t>
    </r>
    <r>
      <rPr>
        <sz val="10"/>
        <rFont val="Arial"/>
        <family val="0"/>
      </rPr>
      <t>, x, h), являющиеся конечными для заданного процесса.</t>
    </r>
  </si>
  <si>
    <t>Этот процесс определяется без задания параметров. Используются два предыдущих значения расхода воздуха. Если при смешении достигается максимально допустимое влагосодержание, то происходит адиабатическая кондесация водяных паров. В результате вычисляется количество сконденсированной влаги.</t>
  </si>
  <si>
    <t>Горячие клавиши:</t>
  </si>
  <si>
    <t>Распечатка диаграммы на принтере</t>
  </si>
  <si>
    <t>Уничтожение задания и подготовка к вводу нового задания</t>
  </si>
  <si>
    <t>Руководство к 
использованию</t>
  </si>
  <si>
    <t>На диаграмме отображаются до 10 состояний, переход между которыми определяется соответствующими процессами.</t>
  </si>
  <si>
    <t>h на пов. испарителя</t>
  </si>
  <si>
    <t>Новое состояние можно вычислить, задав два параметра, либо определив процесс и его конечные параметры в ячейках входной таблицы, имеющих синюю окантовку. Выходная таблица содержит алфавитно-цифровую информацию, предназначенную для вывода на печать.</t>
  </si>
  <si>
    <t>Процесс 0 - 
нулевой</t>
  </si>
  <si>
    <t>На диаграмме отображаются следующие процессы: нагрев, охлаждение, адиабатическое охлаждение, пароувлажнение, смешение и общий процесс, определяемый двумя заданными состояниями.</t>
  </si>
  <si>
    <t>На свободных полях выходной таблицы допускается размещать текстовые комментарии, которые в составе таблицы выводятся на печать.</t>
  </si>
  <si>
    <t xml:space="preserve">Приведенные ниже примеры иллюстрируют следующие два режима обработки воздуха: </t>
  </si>
  <si>
    <t>Зимний режим с регулированием влажности воздуха путем его орошения.</t>
  </si>
  <si>
    <t xml:space="preserve">Летний режим с охлаждением, последующим подогревом и прецизионным пароувлажнением. </t>
  </si>
  <si>
    <t>Скопируйте нижеследующие ячейки в Clipboard и вставьте их на листе "Расчет" в таблицу исходных данных</t>
  </si>
  <si>
    <r>
      <t>Для каждого состояния может указываться расход сухого воздуха. Расход задается в предположении плотности воздуха 1.2 кг/м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(значение приведенное к 17°C). Отсюда определяется массовый расход воздуха, используемый в дальнейших вычислениях. В выходную таблицу выводятся фактические значения объемного расхода воздуха, соответствующие текущим параметрам, характеризующим его состояние.</t>
    </r>
  </si>
  <si>
    <t>Температура на поверхности испарителя:</t>
  </si>
  <si>
    <t xml:space="preserve">     Психрометреческая I-d диаграмма</t>
  </si>
  <si>
    <t xml:space="preserve"> (Диаграмма Молье)</t>
  </si>
  <si>
    <t>Психрометрическая I-d диаграмма (диаграмма Молье) используется для визуализации результатов расчета процессов обработки влажного воздуха.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</si>
</sst>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"/>
    <numFmt numFmtId="181" formatCode="0.0"/>
  </numFmts>
  <fonts count="2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0"/>
      <name val="Symbol"/>
      <family val="1"/>
    </font>
    <font>
      <i/>
      <sz val="10"/>
      <name val="Arial"/>
      <family val="2"/>
    </font>
    <font>
      <sz val="10"/>
      <color indexed="26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14"/>
      <name val="Arial"/>
      <family val="2"/>
    </font>
    <font>
      <i/>
      <sz val="8"/>
      <name val="Arial"/>
      <family val="2"/>
    </font>
    <font>
      <b/>
      <sz val="8"/>
      <name val="Symbol"/>
      <family val="1"/>
    </font>
    <font>
      <sz val="10"/>
      <color indexed="32"/>
      <name val="Arial"/>
      <family val="2"/>
    </font>
    <font>
      <sz val="10"/>
      <color indexed="3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Symbol"/>
      <family val="1"/>
    </font>
    <font>
      <b/>
      <i/>
      <sz val="14"/>
      <name val="Times New Roman"/>
      <family val="1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Symbol"/>
      <family val="1"/>
    </font>
    <font>
      <u val="single"/>
      <sz val="10"/>
      <color indexed="10"/>
      <name val="Arial"/>
      <family val="2"/>
    </font>
    <font>
      <sz val="6"/>
      <color indexed="10"/>
      <name val="Arial"/>
      <family val="2"/>
    </font>
    <font>
      <b/>
      <u val="single"/>
      <sz val="10"/>
      <color indexed="10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32"/>
      </left>
      <right style="thin">
        <color indexed="32"/>
      </right>
      <top style="thin">
        <color indexed="32"/>
      </top>
      <bottom>
        <color indexed="63"/>
      </bottom>
    </border>
    <border>
      <left style="thin">
        <color indexed="32"/>
      </left>
      <right style="thin">
        <color indexed="32"/>
      </right>
      <top style="double">
        <color indexed="32"/>
      </top>
      <bottom style="thin">
        <color indexed="32"/>
      </bottom>
    </border>
    <border>
      <left style="medium">
        <color indexed="16"/>
      </left>
      <right style="medium">
        <color indexed="16"/>
      </right>
      <top style="thin">
        <color indexed="16"/>
      </top>
      <bottom style="thin">
        <color indexed="16"/>
      </bottom>
    </border>
    <border>
      <left style="medium">
        <color indexed="16"/>
      </left>
      <right style="thin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 style="double">
        <color indexed="16"/>
      </top>
      <bottom style="thin">
        <color indexed="16"/>
      </bottom>
    </border>
    <border>
      <left style="medium">
        <color indexed="16"/>
      </left>
      <right>
        <color indexed="63"/>
      </right>
      <top>
        <color indexed="63"/>
      </top>
      <bottom style="thin">
        <color indexed="16"/>
      </bottom>
    </border>
    <border>
      <left style="medium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32"/>
      </left>
      <right style="thin">
        <color indexed="32"/>
      </right>
      <top style="thin">
        <color indexed="32"/>
      </top>
      <bottom style="double">
        <color indexed="32"/>
      </bottom>
    </border>
    <border>
      <left>
        <color indexed="63"/>
      </left>
      <right>
        <color indexed="63"/>
      </right>
      <top style="thin">
        <color indexed="32"/>
      </top>
      <bottom style="double">
        <color indexed="32"/>
      </bottom>
    </border>
    <border>
      <left style="thin">
        <color indexed="32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 style="thin">
        <color indexed="32"/>
      </right>
      <top style="thin">
        <color indexed="32"/>
      </top>
      <bottom style="thin">
        <color indexed="3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181" fontId="0" fillId="2" borderId="2" xfId="0" applyNumberFormat="1" applyFill="1" applyBorder="1" applyAlignment="1" applyProtection="1">
      <alignment/>
      <protection locked="0"/>
    </xf>
    <xf numFmtId="0" fontId="0" fillId="2" borderId="1" xfId="0" applyNumberForma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18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 horizontal="right"/>
      <protection locked="0"/>
    </xf>
    <xf numFmtId="0" fontId="14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right"/>
      <protection locked="0"/>
    </xf>
    <xf numFmtId="9" fontId="5" fillId="2" borderId="0" xfId="0" applyNumberFormat="1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4" fillId="2" borderId="0" xfId="0" applyFont="1" applyFill="1" applyAlignment="1" applyProtection="1">
      <alignment/>
      <protection locked="0"/>
    </xf>
    <xf numFmtId="0" fontId="3" fillId="2" borderId="0" xfId="0" applyFont="1" applyFill="1" applyAlignment="1" applyProtection="1">
      <alignment/>
      <protection locked="0"/>
    </xf>
    <xf numFmtId="181" fontId="0" fillId="2" borderId="4" xfId="0" applyNumberFormat="1" applyFill="1" applyBorder="1" applyAlignment="1" applyProtection="1">
      <alignment/>
      <protection locked="0"/>
    </xf>
    <xf numFmtId="0" fontId="1" fillId="2" borderId="0" xfId="0" applyFont="1" applyFill="1" applyAlignment="1" applyProtection="1" quotePrefix="1">
      <alignment/>
      <protection locked="0"/>
    </xf>
    <xf numFmtId="0" fontId="6" fillId="2" borderId="0" xfId="0" applyFont="1" applyFill="1" applyAlignment="1" applyProtection="1">
      <alignment horizontal="center"/>
      <protection locked="0"/>
    </xf>
    <xf numFmtId="181" fontId="0" fillId="2" borderId="5" xfId="0" applyNumberFormat="1" applyFill="1" applyBorder="1" applyAlignment="1" applyProtection="1">
      <alignment/>
      <protection locked="0"/>
    </xf>
    <xf numFmtId="181" fontId="0" fillId="2" borderId="6" xfId="0" applyNumberFormat="1" applyFill="1" applyBorder="1" applyAlignment="1" applyProtection="1">
      <alignment/>
      <protection locked="0"/>
    </xf>
    <xf numFmtId="9" fontId="0" fillId="2" borderId="4" xfId="0" applyNumberFormat="1" applyFill="1" applyBorder="1" applyAlignment="1" applyProtection="1">
      <alignment/>
      <protection locked="0"/>
    </xf>
    <xf numFmtId="2" fontId="0" fillId="2" borderId="4" xfId="0" applyNumberFormat="1" applyFill="1" applyBorder="1" applyAlignment="1" applyProtection="1">
      <alignment/>
      <protection locked="0"/>
    </xf>
    <xf numFmtId="3" fontId="0" fillId="2" borderId="7" xfId="0" applyNumberFormat="1" applyFill="1" applyBorder="1" applyAlignment="1" applyProtection="1">
      <alignment/>
      <protection locked="0"/>
    </xf>
    <xf numFmtId="3" fontId="0" fillId="2" borderId="8" xfId="0" applyNumberFormat="1" applyFill="1" applyBorder="1" applyAlignment="1" applyProtection="1">
      <alignment/>
      <protection locked="0"/>
    </xf>
    <xf numFmtId="3" fontId="0" fillId="2" borderId="4" xfId="0" applyNumberFormat="1" applyFill="1" applyBorder="1" applyAlignment="1" applyProtection="1">
      <alignment/>
      <protection locked="0"/>
    </xf>
    <xf numFmtId="181" fontId="0" fillId="2" borderId="9" xfId="0" applyNumberForma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7" fillId="0" borderId="0" xfId="0" applyFont="1" applyAlignment="1" applyProtection="1" quotePrefix="1">
      <alignment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6" xfId="0" applyFont="1" applyFill="1" applyBorder="1" applyAlignment="1" applyProtection="1">
      <alignment/>
      <protection locked="0"/>
    </xf>
    <xf numFmtId="0" fontId="8" fillId="0" borderId="17" xfId="0" applyFont="1" applyFill="1" applyBorder="1" applyAlignment="1" applyProtection="1">
      <alignment/>
      <protection locked="0"/>
    </xf>
    <xf numFmtId="0" fontId="10" fillId="0" borderId="18" xfId="0" applyFont="1" applyFill="1" applyBorder="1" applyAlignment="1" applyProtection="1">
      <alignment/>
      <protection locked="0"/>
    </xf>
    <xf numFmtId="181" fontId="7" fillId="0" borderId="16" xfId="0" applyNumberFormat="1" applyFont="1" applyFill="1" applyBorder="1" applyAlignment="1" applyProtection="1">
      <alignment horizontal="center"/>
      <protection locked="0"/>
    </xf>
    <xf numFmtId="181" fontId="7" fillId="0" borderId="17" xfId="0" applyNumberFormat="1" applyFont="1" applyFill="1" applyBorder="1" applyAlignment="1" applyProtection="1">
      <alignment horizontal="center"/>
      <protection locked="0"/>
    </xf>
    <xf numFmtId="181" fontId="7" fillId="0" borderId="18" xfId="0" applyNumberFormat="1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/>
      <protection locked="0"/>
    </xf>
    <xf numFmtId="0" fontId="8" fillId="0" borderId="20" xfId="0" applyFont="1" applyFill="1" applyBorder="1" applyAlignment="1" applyProtection="1">
      <alignment/>
      <protection locked="0"/>
    </xf>
    <xf numFmtId="0" fontId="10" fillId="0" borderId="21" xfId="0" applyFont="1" applyFill="1" applyBorder="1" applyAlignment="1" applyProtection="1">
      <alignment/>
      <protection locked="0"/>
    </xf>
    <xf numFmtId="181" fontId="7" fillId="0" borderId="19" xfId="0" applyNumberFormat="1" applyFont="1" applyFill="1" applyBorder="1" applyAlignment="1" applyProtection="1">
      <alignment horizontal="center"/>
      <protection locked="0"/>
    </xf>
    <xf numFmtId="181" fontId="7" fillId="0" borderId="20" xfId="0" applyNumberFormat="1" applyFont="1" applyFill="1" applyBorder="1" applyAlignment="1" applyProtection="1">
      <alignment horizontal="center"/>
      <protection locked="0"/>
    </xf>
    <xf numFmtId="181" fontId="7" fillId="0" borderId="2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11" fillId="0" borderId="23" xfId="0" applyFont="1" applyFill="1" applyBorder="1" applyAlignment="1" applyProtection="1">
      <alignment/>
      <protection locked="0"/>
    </xf>
    <xf numFmtId="0" fontId="10" fillId="0" borderId="24" xfId="0" applyFont="1" applyFill="1" applyBorder="1" applyAlignment="1" applyProtection="1">
      <alignment/>
      <protection locked="0"/>
    </xf>
    <xf numFmtId="9" fontId="7" fillId="0" borderId="22" xfId="0" applyNumberFormat="1" applyFont="1" applyFill="1" applyBorder="1" applyAlignment="1" applyProtection="1">
      <alignment horizontal="center"/>
      <protection locked="0"/>
    </xf>
    <xf numFmtId="9" fontId="7" fillId="0" borderId="23" xfId="0" applyNumberFormat="1" applyFont="1" applyFill="1" applyBorder="1" applyAlignment="1" applyProtection="1">
      <alignment horizontal="center"/>
      <protection locked="0"/>
    </xf>
    <xf numFmtId="9" fontId="7" fillId="0" borderId="24" xfId="0" applyNumberFormat="1" applyFont="1" applyFill="1" applyBorder="1" applyAlignment="1" applyProtection="1">
      <alignment horizontal="center"/>
      <protection locked="0"/>
    </xf>
    <xf numFmtId="0" fontId="8" fillId="0" borderId="23" xfId="0" applyFont="1" applyFill="1" applyBorder="1" applyAlignment="1" applyProtection="1">
      <alignment/>
      <protection locked="0"/>
    </xf>
    <xf numFmtId="181" fontId="7" fillId="0" borderId="22" xfId="0" applyNumberFormat="1" applyFont="1" applyFill="1" applyBorder="1" applyAlignment="1" applyProtection="1">
      <alignment horizontal="center"/>
      <protection locked="0"/>
    </xf>
    <xf numFmtId="181" fontId="7" fillId="0" borderId="23" xfId="0" applyNumberFormat="1" applyFont="1" applyFill="1" applyBorder="1" applyAlignment="1" applyProtection="1">
      <alignment horizontal="center"/>
      <protection locked="0"/>
    </xf>
    <xf numFmtId="181" fontId="7" fillId="0" borderId="24" xfId="0" applyNumberFormat="1" applyFont="1" applyFill="1" applyBorder="1" applyAlignment="1" applyProtection="1">
      <alignment horizontal="center"/>
      <protection locked="0"/>
    </xf>
    <xf numFmtId="2" fontId="7" fillId="0" borderId="22" xfId="0" applyNumberFormat="1" applyFont="1" applyFill="1" applyBorder="1" applyAlignment="1" applyProtection="1">
      <alignment horizontal="center"/>
      <protection locked="0"/>
    </xf>
    <xf numFmtId="2" fontId="7" fillId="0" borderId="23" xfId="0" applyNumberFormat="1" applyFont="1" applyFill="1" applyBorder="1" applyAlignment="1" applyProtection="1">
      <alignment horizontal="center"/>
      <protection locked="0"/>
    </xf>
    <xf numFmtId="2" fontId="7" fillId="0" borderId="24" xfId="0" applyNumberFormat="1" applyFont="1" applyFill="1" applyBorder="1" applyAlignment="1" applyProtection="1">
      <alignment horizontal="center"/>
      <protection locked="0"/>
    </xf>
    <xf numFmtId="0" fontId="7" fillId="0" borderId="25" xfId="0" applyFont="1" applyFill="1" applyBorder="1" applyAlignment="1" applyProtection="1">
      <alignment/>
      <protection locked="0"/>
    </xf>
    <xf numFmtId="0" fontId="8" fillId="0" borderId="26" xfId="0" applyFont="1" applyFill="1" applyBorder="1" applyAlignment="1" applyProtection="1">
      <alignment/>
      <protection locked="0"/>
    </xf>
    <xf numFmtId="0" fontId="10" fillId="0" borderId="27" xfId="0" applyFont="1" applyFill="1" applyBorder="1" applyAlignment="1" applyProtection="1">
      <alignment/>
      <protection locked="0"/>
    </xf>
    <xf numFmtId="181" fontId="7" fillId="0" borderId="25" xfId="0" applyNumberFormat="1" applyFont="1" applyFill="1" applyBorder="1" applyAlignment="1" applyProtection="1">
      <alignment horizontal="center"/>
      <protection locked="0"/>
    </xf>
    <xf numFmtId="181" fontId="7" fillId="0" borderId="26" xfId="0" applyNumberFormat="1" applyFont="1" applyFill="1" applyBorder="1" applyAlignment="1" applyProtection="1">
      <alignment horizontal="center"/>
      <protection locked="0"/>
    </xf>
    <xf numFmtId="181" fontId="7" fillId="0" borderId="27" xfId="0" applyNumberFormat="1" applyFont="1" applyFill="1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/>
      <protection locked="0"/>
    </xf>
    <xf numFmtId="0" fontId="8" fillId="0" borderId="29" xfId="0" applyFont="1" applyFill="1" applyBorder="1" applyAlignment="1" applyProtection="1">
      <alignment/>
      <protection locked="0"/>
    </xf>
    <xf numFmtId="0" fontId="10" fillId="0" borderId="30" xfId="0" applyFont="1" applyFill="1" applyBorder="1" applyAlignment="1" applyProtection="1">
      <alignment/>
      <protection locked="0"/>
    </xf>
    <xf numFmtId="3" fontId="7" fillId="0" borderId="28" xfId="0" applyNumberFormat="1" applyFont="1" applyFill="1" applyBorder="1" applyAlignment="1" applyProtection="1">
      <alignment horizontal="center"/>
      <protection locked="0"/>
    </xf>
    <xf numFmtId="3" fontId="7" fillId="0" borderId="29" xfId="0" applyNumberFormat="1" applyFont="1" applyFill="1" applyBorder="1" applyAlignment="1" applyProtection="1">
      <alignment horizontal="center"/>
      <protection locked="0"/>
    </xf>
    <xf numFmtId="3" fontId="7" fillId="0" borderId="30" xfId="0" applyNumberFormat="1" applyFont="1" applyFill="1" applyBorder="1" applyAlignment="1" applyProtection="1">
      <alignment horizontal="center"/>
      <protection locked="0"/>
    </xf>
    <xf numFmtId="3" fontId="7" fillId="0" borderId="22" xfId="0" applyNumberFormat="1" applyFont="1" applyFill="1" applyBorder="1" applyAlignment="1" applyProtection="1">
      <alignment horizontal="center"/>
      <protection locked="0"/>
    </xf>
    <xf numFmtId="3" fontId="7" fillId="0" borderId="23" xfId="0" applyNumberFormat="1" applyFont="1" applyFill="1" applyBorder="1" applyAlignment="1" applyProtection="1">
      <alignment horizontal="center"/>
      <protection locked="0"/>
    </xf>
    <xf numFmtId="3" fontId="7" fillId="0" borderId="24" xfId="0" applyNumberFormat="1" applyFont="1" applyFill="1" applyBorder="1" applyAlignment="1" applyProtection="1">
      <alignment horizontal="center"/>
      <protection locked="0"/>
    </xf>
    <xf numFmtId="0" fontId="8" fillId="0" borderId="23" xfId="0" applyFont="1" applyFill="1" applyBorder="1" applyAlignment="1" applyProtection="1">
      <alignment/>
      <protection locked="0"/>
    </xf>
    <xf numFmtId="0" fontId="7" fillId="0" borderId="31" xfId="0" applyFont="1" applyFill="1" applyBorder="1" applyAlignment="1" applyProtection="1">
      <alignment/>
      <protection locked="0"/>
    </xf>
    <xf numFmtId="0" fontId="8" fillId="0" borderId="32" xfId="0" applyFont="1" applyFill="1" applyBorder="1" applyAlignment="1" applyProtection="1">
      <alignment/>
      <protection locked="0"/>
    </xf>
    <xf numFmtId="0" fontId="10" fillId="0" borderId="33" xfId="0" applyFont="1" applyFill="1" applyBorder="1" applyAlignment="1" applyProtection="1">
      <alignment/>
      <protection locked="0"/>
    </xf>
    <xf numFmtId="181" fontId="7" fillId="0" borderId="31" xfId="0" applyNumberFormat="1" applyFont="1" applyFill="1" applyBorder="1" applyAlignment="1" applyProtection="1">
      <alignment horizontal="center"/>
      <protection locked="0"/>
    </xf>
    <xf numFmtId="181" fontId="7" fillId="0" borderId="32" xfId="0" applyNumberFormat="1" applyFont="1" applyFill="1" applyBorder="1" applyAlignment="1" applyProtection="1">
      <alignment horizontal="center"/>
      <protection locked="0"/>
    </xf>
    <xf numFmtId="181" fontId="7" fillId="0" borderId="3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4" fillId="0" borderId="0" xfId="0" applyFont="1" applyAlignment="1" applyProtection="1" quotePrefix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181" fontId="19" fillId="0" borderId="0" xfId="0" applyNumberFormat="1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181" fontId="19" fillId="0" borderId="0" xfId="0" applyNumberFormat="1" applyFont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0" fontId="20" fillId="2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19" fillId="0" borderId="0" xfId="0" applyFont="1" applyFill="1" applyAlignment="1" applyProtection="1" quotePrefix="1">
      <alignment horizontal="center"/>
      <protection locked="0"/>
    </xf>
    <xf numFmtId="0" fontId="19" fillId="0" borderId="0" xfId="0" applyFont="1" applyFill="1" applyAlignment="1" applyProtection="1">
      <alignment/>
      <protection locked="0"/>
    </xf>
    <xf numFmtId="181" fontId="19" fillId="0" borderId="0" xfId="0" applyNumberFormat="1" applyFont="1" applyFill="1" applyAlignment="1" applyProtection="1" quotePrefix="1">
      <alignment horizontal="center"/>
      <protection locked="0"/>
    </xf>
    <xf numFmtId="181" fontId="19" fillId="0" borderId="0" xfId="0" applyNumberFormat="1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right"/>
      <protection locked="0"/>
    </xf>
    <xf numFmtId="0" fontId="23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19" fillId="0" borderId="0" xfId="0" applyNumberFormat="1" applyFont="1" applyAlignment="1" applyProtection="1">
      <alignment/>
      <protection locked="0"/>
    </xf>
    <xf numFmtId="0" fontId="19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vertical="top" wrapText="1"/>
      <protection locked="0"/>
    </xf>
    <xf numFmtId="0" fontId="21" fillId="0" borderId="0" xfId="0" applyFont="1" applyAlignment="1" applyProtection="1">
      <alignment wrapText="1"/>
      <protection locked="0"/>
    </xf>
    <xf numFmtId="0" fontId="19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0" fillId="2" borderId="34" xfId="0" applyFill="1" applyBorder="1" applyAlignment="1" applyProtection="1">
      <alignment/>
      <protection locked="0"/>
    </xf>
    <xf numFmtId="181" fontId="0" fillId="2" borderId="35" xfId="0" applyNumberFormat="1" applyFill="1" applyBorder="1" applyAlignment="1" applyProtection="1">
      <alignment/>
      <protection locked="0"/>
    </xf>
    <xf numFmtId="181" fontId="0" fillId="2" borderId="34" xfId="0" applyNumberFormat="1" applyFill="1" applyBorder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5" fillId="0" borderId="36" xfId="0" applyFont="1" applyFill="1" applyBorder="1" applyAlignment="1" applyProtection="1">
      <alignment horizontal="left"/>
      <protection locked="0"/>
    </xf>
    <xf numFmtId="0" fontId="15" fillId="0" borderId="37" xfId="0" applyFont="1" applyFill="1" applyBorder="1" applyAlignment="1" applyProtection="1">
      <alignment horizontal="left"/>
      <protection locked="0"/>
    </xf>
    <xf numFmtId="0" fontId="15" fillId="0" borderId="38" xfId="0" applyFont="1" applyFill="1" applyBorder="1" applyAlignment="1" applyProtection="1">
      <alignment horizontal="left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"/>
          <c:w val="0.941"/>
          <c:h val="0.9465"/>
        </c:manualLayout>
      </c:layout>
      <c:scatterChart>
        <c:scatterStyle val="lineMarker"/>
        <c:varyColors val="0"/>
        <c:ser>
          <c:idx val="52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'-'!$C$26:$D$26</c:f>
              <c:numCach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'-'!$C$55:$D$55</c:f>
              <c:numCache>
                <c:ptCount val="2"/>
                <c:pt idx="0">
                  <c:v>-19.801980198019802</c:v>
                </c:pt>
                <c:pt idx="1">
                  <c:v>-81.70792079207921</c:v>
                </c:pt>
              </c:numCache>
            </c:numRef>
          </c:yVal>
          <c:smooth val="0"/>
        </c:ser>
        <c:ser>
          <c:idx val="5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'-'!$C$26:$D$26</c:f>
              <c:numCach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'-'!$C$54:$D$54</c:f>
              <c:numCache>
                <c:ptCount val="2"/>
                <c:pt idx="0">
                  <c:v>-14.851485148514852</c:v>
                </c:pt>
                <c:pt idx="1">
                  <c:v>-76.75742574257426</c:v>
                </c:pt>
              </c:numCache>
            </c:numRef>
          </c:yVal>
          <c:smooth val="0"/>
        </c:ser>
        <c:ser>
          <c:idx val="50"/>
          <c:order val="2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'-'!$C$26:$D$26</c:f>
              <c:numCach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'-'!$C$53:$D$53</c:f>
              <c:numCache>
                <c:ptCount val="2"/>
                <c:pt idx="0">
                  <c:v>-9.900990099009901</c:v>
                </c:pt>
                <c:pt idx="1">
                  <c:v>-71.80693069306932</c:v>
                </c:pt>
              </c:numCache>
            </c:numRef>
          </c:yVal>
          <c:smooth val="0"/>
        </c:ser>
        <c:ser>
          <c:idx val="49"/>
          <c:order val="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'-'!$C$26:$D$26</c:f>
              <c:numCach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'-'!$C$52:$D$52</c:f>
              <c:numCache>
                <c:ptCount val="2"/>
                <c:pt idx="0">
                  <c:v>-4.9504950495049505</c:v>
                </c:pt>
                <c:pt idx="1">
                  <c:v>-66.85643564356437</c:v>
                </c:pt>
              </c:numCache>
            </c:numRef>
          </c:yVal>
          <c:smooth val="0"/>
        </c:ser>
        <c:ser>
          <c:idx val="38"/>
          <c:order val="4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'-'!$C$26:$D$26</c:f>
              <c:numCach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'-'!$C$51:$D$51</c:f>
              <c:numCache>
                <c:ptCount val="2"/>
                <c:pt idx="0">
                  <c:v>0</c:v>
                </c:pt>
                <c:pt idx="1">
                  <c:v>-61.9059405940594</c:v>
                </c:pt>
              </c:numCache>
            </c:numRef>
          </c:yVal>
          <c:smooth val="0"/>
        </c:ser>
        <c:ser>
          <c:idx val="37"/>
          <c:order val="5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'-'!$C$26:$G$26</c:f>
              <c:numCache>
                <c:ptCount val="5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'-'!$C$50:$F$50</c:f>
              <c:numCache>
                <c:ptCount val="4"/>
                <c:pt idx="0">
                  <c:v>4.9504950495049505</c:v>
                </c:pt>
                <c:pt idx="1">
                  <c:v>-56.95544554455445</c:v>
                </c:pt>
              </c:numCache>
            </c:numRef>
          </c:yVal>
          <c:smooth val="0"/>
        </c:ser>
        <c:ser>
          <c:idx val="36"/>
          <c:order val="6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'-'!$C$26:$G$26</c:f>
              <c:numCache>
                <c:ptCount val="5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'-'!$C$49:$F$49</c:f>
              <c:numCache>
                <c:ptCount val="4"/>
                <c:pt idx="0">
                  <c:v>9.900990099009901</c:v>
                </c:pt>
                <c:pt idx="1">
                  <c:v>-52.004950495049506</c:v>
                </c:pt>
              </c:numCache>
            </c:numRef>
          </c:yVal>
          <c:smooth val="0"/>
        </c:ser>
        <c:ser>
          <c:idx val="35"/>
          <c:order val="7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'-'!$C$26:$G$26</c:f>
              <c:numCache>
                <c:ptCount val="5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'-'!$C$48:$F$48</c:f>
              <c:numCache>
                <c:ptCount val="4"/>
                <c:pt idx="0">
                  <c:v>14.851485148514852</c:v>
                </c:pt>
                <c:pt idx="1">
                  <c:v>-47.054455445544555</c:v>
                </c:pt>
              </c:numCache>
            </c:numRef>
          </c:yVal>
          <c:smooth val="0"/>
        </c:ser>
        <c:ser>
          <c:idx val="34"/>
          <c:order val="8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'-'!$C$26:$G$26</c:f>
              <c:numCache>
                <c:ptCount val="5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'-'!$C$47:$F$47</c:f>
              <c:numCache>
                <c:ptCount val="4"/>
                <c:pt idx="0">
                  <c:v>19.801980198019802</c:v>
                </c:pt>
                <c:pt idx="1">
                  <c:v>-42.103960396039604</c:v>
                </c:pt>
              </c:numCache>
            </c:numRef>
          </c:yVal>
          <c:smooth val="0"/>
        </c:ser>
        <c:ser>
          <c:idx val="33"/>
          <c:order val="9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'-'!$C$26:$G$26</c:f>
              <c:numCache>
                <c:ptCount val="5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'-'!$C$46:$F$46</c:f>
              <c:numCache>
                <c:ptCount val="4"/>
                <c:pt idx="0">
                  <c:v>24.752475247524753</c:v>
                </c:pt>
                <c:pt idx="1">
                  <c:v>-37.15346534653465</c:v>
                </c:pt>
              </c:numCache>
            </c:numRef>
          </c:yVal>
          <c:smooth val="0"/>
        </c:ser>
        <c:ser>
          <c:idx val="32"/>
          <c:order val="1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'-'!$C$26:$G$26</c:f>
              <c:numCache>
                <c:ptCount val="5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'-'!$C$45:$F$45</c:f>
              <c:numCache>
                <c:ptCount val="4"/>
                <c:pt idx="0">
                  <c:v>29.702970297029704</c:v>
                </c:pt>
                <c:pt idx="1">
                  <c:v>-32.2029702970297</c:v>
                </c:pt>
              </c:numCache>
            </c:numRef>
          </c:yVal>
          <c:smooth val="0"/>
        </c:ser>
        <c:ser>
          <c:idx val="31"/>
          <c:order val="1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'-'!$C$26:$G$26</c:f>
              <c:numCache>
                <c:ptCount val="5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'-'!$C$44:$F$44</c:f>
              <c:numCache>
                <c:ptCount val="4"/>
                <c:pt idx="0">
                  <c:v>34.65346534653465</c:v>
                </c:pt>
                <c:pt idx="1">
                  <c:v>-27.25247524752475</c:v>
                </c:pt>
              </c:numCache>
            </c:numRef>
          </c:yVal>
          <c:smooth val="0"/>
        </c:ser>
        <c:ser>
          <c:idx val="62"/>
          <c:order val="12"/>
          <c:tx>
            <c:v>10.bod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Расчет!$E$180:$O$180</c:f>
              <c:numCache>
                <c:ptCount val="11"/>
                <c:pt idx="8">
                  <c:v>-1</c:v>
                </c:pt>
                <c:pt idx="9">
                  <c:v>-1</c:v>
                </c:pt>
                <c:pt idx="10">
                  <c:v>-1</c:v>
                </c:pt>
              </c:numCache>
            </c:numRef>
          </c:xVal>
          <c:yVal>
            <c:numRef>
              <c:f>Расчет!$E$181:$O$181</c:f>
              <c:numCache>
                <c:ptCount val="11"/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61"/>
          <c:order val="13"/>
          <c:tx>
            <c:v>9.bod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Расчет!$E$178:$O$178</c:f>
              <c:numCache>
                <c:ptCount val="11"/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Расчет!$E$179:$O$179</c:f>
              <c:numCache>
                <c:ptCount val="11"/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60"/>
          <c:order val="14"/>
          <c:tx>
            <c:v>8.bod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Расчет!$E$176:$O$176</c:f>
              <c:numCache>
                <c:ptCount val="11"/>
                <c:pt idx="6">
                  <c:v>-1</c:v>
                </c:pt>
                <c:pt idx="7">
                  <c:v>-1</c:v>
                </c:pt>
                <c:pt idx="8">
                  <c:v>-1</c:v>
                </c:pt>
              </c:numCache>
            </c:numRef>
          </c:xVal>
          <c:yVal>
            <c:numRef>
              <c:f>Расчет!$E$177:$O$177</c:f>
              <c:numCache>
                <c:ptCount val="11"/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59"/>
          <c:order val="15"/>
          <c:tx>
            <c:v>7.bod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Расчет!$E$174:$O$174</c:f>
              <c:numCache>
                <c:ptCount val="11"/>
                <c:pt idx="5">
                  <c:v>-1</c:v>
                </c:pt>
                <c:pt idx="6">
                  <c:v>-1</c:v>
                </c:pt>
                <c:pt idx="7">
                  <c:v>-1</c:v>
                </c:pt>
              </c:numCache>
            </c:numRef>
          </c:xVal>
          <c:yVal>
            <c:numRef>
              <c:f>Расчет!$E$175:$O$175</c:f>
              <c:numCache>
                <c:ptCount val="11"/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58"/>
          <c:order val="16"/>
          <c:tx>
            <c:v>6.bod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Расчет!$E$172:$O$172</c:f>
              <c:numCache>
                <c:ptCount val="11"/>
                <c:pt idx="4">
                  <c:v>-1</c:v>
                </c:pt>
                <c:pt idx="5">
                  <c:v>-1</c:v>
                </c:pt>
                <c:pt idx="6">
                  <c:v>-1</c:v>
                </c:pt>
              </c:numCache>
            </c:numRef>
          </c:xVal>
          <c:yVal>
            <c:numRef>
              <c:f>Расчет!$E$173:$O$173</c:f>
              <c:numCache>
                <c:ptCount val="11"/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57"/>
          <c:order val="17"/>
          <c:tx>
            <c:v>5.bod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Расчет!$E$170:$O$170</c:f>
              <c:numCache>
                <c:ptCount val="11"/>
                <c:pt idx="3">
                  <c:v>-1</c:v>
                </c:pt>
                <c:pt idx="4">
                  <c:v>-1</c:v>
                </c:pt>
                <c:pt idx="5">
                  <c:v>-1</c:v>
                </c:pt>
              </c:numCache>
            </c:numRef>
          </c:xVal>
          <c:yVal>
            <c:numRef>
              <c:f>Расчет!$E$171:$O$171</c:f>
              <c:numCache>
                <c:ptCount val="11"/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56"/>
          <c:order val="18"/>
          <c:tx>
            <c:v>4.bod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Расчет!$E$168:$O$168</c:f>
              <c:numCache>
                <c:ptCount val="11"/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Расчет!$E$169:$O$169</c:f>
              <c:numCache>
                <c:ptCount val="11"/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55"/>
          <c:order val="19"/>
          <c:tx>
            <c:v>3.bod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Расчет!$E$166:$O$166</c:f>
              <c:numCache>
                <c:ptCount val="11"/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Расчет!$E$167:$O$167</c:f>
              <c:numCach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54"/>
          <c:order val="20"/>
          <c:tx>
            <c:v>3.bod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Расчет!$E$164:$O$164</c:f>
              <c:numCache>
                <c:ptCount val="11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Расчет!$E$165:$O$165</c:f>
              <c:numCache>
                <c:ptCount val="11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4"/>
          <c:order val="21"/>
          <c:tx>
            <c:v>2.bod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Расчет!$E$164:$O$164</c:f>
              <c:numCache>
                <c:ptCount val="11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Расчет!$E$165:$O$165</c:f>
              <c:numCache>
                <c:ptCount val="11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3"/>
          <c:order val="22"/>
          <c:tx>
            <c:v>1.bod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Расчет!$E$162:$O$162</c:f>
              <c:numCache>
                <c:ptCount val="11"/>
                <c:pt idx="0">
                  <c:v>-1</c:v>
                </c:pt>
              </c:numCache>
            </c:numRef>
          </c:xVal>
          <c:yVal>
            <c:numRef>
              <c:f>Расчет!$E$163:$O$163</c:f>
              <c:numCache>
                <c:ptCount val="11"/>
                <c:pt idx="0">
                  <c:v>0</c:v>
                </c:pt>
              </c:numCache>
            </c:numRef>
          </c:yVal>
          <c:smooth val="0"/>
        </c:ser>
        <c:ser>
          <c:idx val="48"/>
          <c:order val="2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'-'!$D$79:$T$79</c:f>
              <c:numCache>
                <c:ptCount val="17"/>
                <c:pt idx="2">
                  <c:v>0.17101280627768012</c:v>
                </c:pt>
                <c:pt idx="3">
                  <c:v>0.2644399931758641</c:v>
                </c:pt>
                <c:pt idx="4">
                  <c:v>0.4011195811810954</c:v>
                </c:pt>
                <c:pt idx="5">
                  <c:v>0.5736594196556128</c:v>
                </c:pt>
                <c:pt idx="6">
                  <c:v>0.8085646061334922</c:v>
                </c:pt>
                <c:pt idx="7">
                  <c:v>1.124221112559172</c:v>
                </c:pt>
                <c:pt idx="8">
                  <c:v>1.5432417243466023</c:v>
                </c:pt>
                <c:pt idx="9">
                  <c:v>2.093178554164365</c:v>
                </c:pt>
                <c:pt idx="10">
                  <c:v>2.807325511686844</c:v>
                </c:pt>
                <c:pt idx="11">
                  <c:v>3.725628607716614</c:v>
                </c:pt>
                <c:pt idx="12">
                  <c:v>4.89572992529573</c:v>
                </c:pt>
                <c:pt idx="13">
                  <c:v>6.374182072237436</c:v>
                </c:pt>
                <c:pt idx="14">
                  <c:v>8.227884936778905</c:v>
                </c:pt>
                <c:pt idx="15">
                  <c:v>10.53581702830612</c:v>
                </c:pt>
                <c:pt idx="16">
                  <c:v>13.39116169682774</c:v>
                </c:pt>
              </c:numCache>
            </c:numRef>
          </c:xVal>
          <c:yVal>
            <c:numRef>
              <c:f>'-'!$D$80:$T$80</c:f>
              <c:numCache>
                <c:ptCount val="17"/>
                <c:pt idx="2">
                  <c:v>-10.003149344749273</c:v>
                </c:pt>
                <c:pt idx="3">
                  <c:v>-5.002434942511421</c:v>
                </c:pt>
                <c:pt idx="4">
                  <c:v>0</c:v>
                </c:pt>
                <c:pt idx="5">
                  <c:v>5.005282210497819</c:v>
                </c:pt>
                <c:pt idx="6">
                  <c:v>10.014890397697112</c:v>
                </c:pt>
                <c:pt idx="7">
                  <c:v>15.031055216871684</c:v>
                </c:pt>
                <c:pt idx="8">
                  <c:v>20.05684019024326</c:v>
                </c:pt>
                <c:pt idx="9">
                  <c:v>25.096369111652123</c:v>
                </c:pt>
                <c:pt idx="10">
                  <c:v>30.155097785695176</c:v>
                </c:pt>
                <c:pt idx="11">
                  <c:v>35.24013705184392</c:v>
                </c:pt>
                <c:pt idx="12">
                  <c:v>40.36063594697228</c:v>
                </c:pt>
                <c:pt idx="13">
                  <c:v>45.52823667271909</c:v>
                </c:pt>
                <c:pt idx="14">
                  <c:v>50.75761712784202</c:v>
                </c:pt>
                <c:pt idx="15">
                  <c:v>56.0671426554413</c:v>
                </c:pt>
                <c:pt idx="16">
                  <c:v>61.47965707461978</c:v>
                </c:pt>
              </c:numCache>
            </c:numRef>
          </c:yVal>
          <c:smooth val="1"/>
        </c:ser>
        <c:ser>
          <c:idx val="47"/>
          <c:order val="24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'-'!$D$77:$T$77</c:f>
              <c:numCache>
                <c:ptCount val="17"/>
                <c:pt idx="0">
                  <c:v>0.1358156797329006</c:v>
                </c:pt>
                <c:pt idx="1">
                  <c:v>0.21750328911584826</c:v>
                </c:pt>
                <c:pt idx="2">
                  <c:v>0.3421196447645112</c:v>
                </c:pt>
                <c:pt idx="3">
                  <c:v>0.5291048601633815</c:v>
                </c:pt>
                <c:pt idx="4">
                  <c:v>0.802756683134497</c:v>
                </c:pt>
                <c:pt idx="5">
                  <c:v>1.148377626908457</c:v>
                </c:pt>
                <c:pt idx="6">
                  <c:v>1.6192334470055176</c:v>
                </c:pt>
                <c:pt idx="7">
                  <c:v>2.2525121732724562</c:v>
                </c:pt>
                <c:pt idx="8">
                  <c:v>3.0941578838395496</c:v>
                </c:pt>
                <c:pt idx="9">
                  <c:v>4.2004882106101</c:v>
                </c:pt>
                <c:pt idx="10">
                  <c:v>5.640098778418829</c:v>
                </c:pt>
                <c:pt idx="11">
                  <c:v>7.4961428539161545</c:v>
                </c:pt>
                <c:pt idx="12">
                  <c:v>9.86911417006841</c:v>
                </c:pt>
                <c:pt idx="13">
                  <c:v>12.880317680384588</c:v>
                </c:pt>
                <c:pt idx="14">
                  <c:v>16.676294841620564</c:v>
                </c:pt>
                <c:pt idx="15">
                  <c:v>21.434589559138622</c:v>
                </c:pt>
                <c:pt idx="16">
                  <c:v>27.371418690269035</c:v>
                </c:pt>
              </c:numCache>
            </c:numRef>
          </c:xVal>
          <c:yVal>
            <c:numRef>
              <c:f>'-'!$D$78:$T$78</c:f>
              <c:numCache>
                <c:ptCount val="17"/>
                <c:pt idx="0">
                  <c:v>-20.00500232008521</c:v>
                </c:pt>
                <c:pt idx="1">
                  <c:v>-15.006008259174585</c:v>
                </c:pt>
                <c:pt idx="2">
                  <c:v>-10.00630042118081</c:v>
                </c:pt>
                <c:pt idx="3">
                  <c:v>-5.004871955643089</c:v>
                </c:pt>
                <c:pt idx="4">
                  <c:v>0</c:v>
                </c:pt>
                <c:pt idx="5">
                  <c:v>5.010574170227969</c:v>
                </c:pt>
                <c:pt idx="6">
                  <c:v>10.029819546647824</c:v>
                </c:pt>
                <c:pt idx="7">
                  <c:v>15.062222861024061</c:v>
                </c:pt>
                <c:pt idx="8">
                  <c:v>20.113963042850326</c:v>
                </c:pt>
                <c:pt idx="9">
                  <c:v>25.1933888136568</c:v>
                </c:pt>
                <c:pt idx="10">
                  <c:v>30.311601496867098</c:v>
                </c:pt>
                <c:pt idx="11">
                  <c:v>35.4831672275148</c:v>
                </c:pt>
                <c:pt idx="12">
                  <c:v>40.72699217252781</c:v>
                </c:pt>
                <c:pt idx="13">
                  <c:v>46.06740850480019</c:v>
                </c:pt>
                <c:pt idx="14">
                  <c:v>51.535540020070016</c:v>
                </c:pt>
                <c:pt idx="15">
                  <c:v>57.171048031584036</c:v>
                </c:pt>
                <c:pt idx="16">
                  <c:v>63.024406263202</c:v>
                </c:pt>
              </c:numCache>
            </c:numRef>
          </c:yVal>
          <c:smooth val="1"/>
        </c:ser>
        <c:ser>
          <c:idx val="46"/>
          <c:order val="25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'-'!$D$75:$T$75</c:f>
              <c:numCache>
                <c:ptCount val="17"/>
                <c:pt idx="2">
                  <c:v>0.5133205930379113</c:v>
                </c:pt>
                <c:pt idx="3">
                  <c:v>0.7939948879259998</c:v>
                </c:pt>
                <c:pt idx="4">
                  <c:v>1.2049123080574862</c:v>
                </c:pt>
                <c:pt idx="5">
                  <c:v>1.7241575557293394</c:v>
                </c:pt>
                <c:pt idx="6">
                  <c:v>2.432014747511475</c:v>
                </c:pt>
                <c:pt idx="7">
                  <c:v>3.384895323490663</c:v>
                </c:pt>
                <c:pt idx="8">
                  <c:v>4.652805867834164</c:v>
                </c:pt>
                <c:pt idx="9">
                  <c:v>6.3220725531589315</c:v>
                </c:pt>
                <c:pt idx="10">
                  <c:v>8.498667392619645</c:v>
                </c:pt>
                <c:pt idx="11">
                  <c:v>11.312358814535846</c:v>
                </c:pt>
                <c:pt idx="12">
                  <c:v>14.92201509196381</c:v>
                </c:pt>
                <c:pt idx="13">
                  <c:v>19.522547083389735</c:v>
                </c:pt>
                <c:pt idx="14">
                  <c:v>25.354215953135277</c:v>
                </c:pt>
                <c:pt idx="15">
                  <c:v>32.71540186624345</c:v>
                </c:pt>
                <c:pt idx="16">
                  <c:v>41.98051788748707</c:v>
                </c:pt>
              </c:numCache>
            </c:numRef>
          </c:xVal>
          <c:yVal>
            <c:numRef>
              <c:f>'-'!$D$76:$T$76</c:f>
              <c:numCache>
                <c:ptCount val="17"/>
                <c:pt idx="2">
                  <c:v>-10.009453230723272</c:v>
                </c:pt>
                <c:pt idx="3">
                  <c:v>-5.007311042037338</c:v>
                </c:pt>
                <c:pt idx="4">
                  <c:v>0</c:v>
                </c:pt>
                <c:pt idx="5">
                  <c:v>5.01587590620622</c:v>
                </c:pt>
                <c:pt idx="6">
                  <c:v>10.044787598320507</c:v>
                </c:pt>
                <c:pt idx="7">
                  <c:v>15.093503544084545</c:v>
                </c:pt>
                <c:pt idx="8">
                  <c:v>20.171370671567754</c:v>
                </c:pt>
                <c:pt idx="9">
                  <c:v>25.291065716556325</c:v>
                </c:pt>
                <c:pt idx="10">
                  <c:v>30.46953033713681</c:v>
                </c:pt>
                <c:pt idx="11">
                  <c:v>35.72914312755078</c:v>
                </c:pt>
                <c:pt idx="12">
                  <c:v>41.0992058642001</c:v>
                </c:pt>
                <c:pt idx="13">
                  <c:v>46.61785860483141</c:v>
                </c:pt>
                <c:pt idx="14">
                  <c:v>52.33459612241741</c:v>
                </c:pt>
                <c:pt idx="15">
                  <c:v>58.31364911971951</c:v>
                </c:pt>
                <c:pt idx="16">
                  <c:v>64.63863940222134</c:v>
                </c:pt>
              </c:numCache>
            </c:numRef>
          </c:yVal>
          <c:smooth val="1"/>
        </c:ser>
        <c:ser>
          <c:idx val="45"/>
          <c:order val="26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'-'!$D$73:$T$73</c:f>
              <c:numCache>
                <c:ptCount val="17"/>
                <c:pt idx="0">
                  <c:v>0.27169066491795946</c:v>
                </c:pt>
                <c:pt idx="1">
                  <c:v>0.4351586972415603</c:v>
                </c:pt>
                <c:pt idx="2">
                  <c:v>0.6846157287606579</c:v>
                </c:pt>
                <c:pt idx="3">
                  <c:v>1.059110363915636</c:v>
                </c:pt>
                <c:pt idx="4">
                  <c:v>1.6075874607367364</c:v>
                </c:pt>
                <c:pt idx="5">
                  <c:v>2.301002150939393</c:v>
                </c:pt>
                <c:pt idx="6">
                  <c:v>3.246916775467931</c:v>
                </c:pt>
                <c:pt idx="7">
                  <c:v>4.521392865461011</c:v>
                </c:pt>
                <c:pt idx="8">
                  <c:v>6.2192436393250885</c:v>
                </c:pt>
                <c:pt idx="9">
                  <c:v>8.458077117485754</c:v>
                </c:pt>
                <c:pt idx="10">
                  <c:v>11.38338530604838</c:v>
                </c:pt>
                <c:pt idx="11">
                  <c:v>15.175112469151824</c:v>
                </c:pt>
                <c:pt idx="12">
                  <c:v>20.056355080942424</c:v>
                </c:pt>
                <c:pt idx="13">
                  <c:v>26.30518558083116</c:v>
                </c:pt>
                <c:pt idx="14">
                  <c:v>34.27112947706115</c:v>
                </c:pt>
                <c:pt idx="15">
                  <c:v>44.398700031379</c:v>
                </c:pt>
                <c:pt idx="16">
                  <c:v>57.26186415449832</c:v>
                </c:pt>
              </c:numCache>
            </c:numRef>
          </c:xVal>
          <c:yVal>
            <c:numRef>
              <c:f>'-'!$D$74:$T$74</c:f>
              <c:numCache>
                <c:ptCount val="17"/>
                <c:pt idx="0">
                  <c:v>-20.01000682449005</c:v>
                </c:pt>
                <c:pt idx="1">
                  <c:v>-15.012020720448554</c:v>
                </c:pt>
                <c:pt idx="2">
                  <c:v>-10.01260777480688</c:v>
                </c:pt>
                <c:pt idx="3">
                  <c:v>-5.009752204341005</c:v>
                </c:pt>
                <c:pt idx="4">
                  <c:v>0</c:v>
                </c:pt>
                <c:pt idx="5">
                  <c:v>5.021187445548254</c:v>
                </c:pt>
                <c:pt idx="6">
                  <c:v>10.059794704973962</c:v>
                </c:pt>
                <c:pt idx="7">
                  <c:v>15.124897882125111</c:v>
                </c:pt>
                <c:pt idx="8">
                  <c:v>20.229065211270193</c:v>
                </c:pt>
                <c:pt idx="9">
                  <c:v>25.389406520755532</c:v>
                </c:pt>
                <c:pt idx="10">
                  <c:v>30.62890386146287</c:v>
                </c:pt>
                <c:pt idx="11">
                  <c:v>35.97811863538791</c:v>
                </c:pt>
                <c:pt idx="12">
                  <c:v>41.47741863170506</c:v>
                </c:pt>
                <c:pt idx="13">
                  <c:v>47.179944587243135</c:v>
                </c:pt>
                <c:pt idx="14">
                  <c:v>53.1556584567987</c:v>
                </c:pt>
                <c:pt idx="15">
                  <c:v>59.49701684476245</c:v>
                </c:pt>
                <c:pt idx="16">
                  <c:v>66.32715251449704</c:v>
                </c:pt>
              </c:numCache>
            </c:numRef>
          </c:yVal>
          <c:smooth val="1"/>
        </c:ser>
        <c:ser>
          <c:idx val="44"/>
          <c:order val="2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'-'!$D$71:$T$71</c:f>
              <c:numCache>
                <c:ptCount val="17"/>
                <c:pt idx="2">
                  <c:v>0.8560051296810054</c:v>
                </c:pt>
                <c:pt idx="3">
                  <c:v>1.3244515760737172</c:v>
                </c:pt>
                <c:pt idx="4">
                  <c:v>2.0107831485566803</c:v>
                </c:pt>
                <c:pt idx="5">
                  <c:v>2.8789143682602814</c:v>
                </c:pt>
                <c:pt idx="6">
                  <c:v>4.06394784189296</c:v>
                </c:pt>
                <c:pt idx="7">
                  <c:v>5.662027263791288</c:v>
                </c:pt>
                <c:pt idx="8">
                  <c:v>7.793529742131546</c:v>
                </c:pt>
                <c:pt idx="9">
                  <c:v>10.608649424398145</c:v>
                </c:pt>
                <c:pt idx="10">
                  <c:v>14.294612975900844</c:v>
                </c:pt>
                <c:pt idx="11">
                  <c:v>19.085260311500072</c:v>
                </c:pt>
                <c:pt idx="12">
                  <c:v>25.27411899782637</c:v>
                </c:pt>
                <c:pt idx="13">
                  <c:v>33.2327328621272</c:v>
                </c:pt>
                <c:pt idx="14">
                  <c:v>43.43704614092491</c:v>
                </c:pt>
                <c:pt idx="15">
                  <c:v>56.50641561980561</c:v>
                </c:pt>
                <c:pt idx="16">
                  <c:v>73.26295103436668</c:v>
                </c:pt>
              </c:numCache>
            </c:numRef>
          </c:xVal>
          <c:yVal>
            <c:numRef>
              <c:f>'-'!$D$72:$T$72</c:f>
              <c:numCache>
                <c:ptCount val="17"/>
                <c:pt idx="2">
                  <c:v>-10.015764054863432</c:v>
                </c:pt>
                <c:pt idx="3">
                  <c:v>-5.012195445205431</c:v>
                </c:pt>
                <c:pt idx="4">
                  <c:v>0</c:v>
                </c:pt>
                <c:pt idx="5">
                  <c:v>5.02650881547012</c:v>
                </c:pt>
                <c:pt idx="6">
                  <c:v>10.074841019662582</c:v>
                </c:pt>
                <c:pt idx="7">
                  <c:v>15.15640649570275</c:v>
                </c:pt>
                <c:pt idx="8">
                  <c:v>20.287048818225042</c:v>
                </c:pt>
                <c:pt idx="9">
                  <c:v>25.488418018053974</c:v>
                </c:pt>
                <c:pt idx="10">
                  <c:v>30.789741984213137</c:v>
                </c:pt>
                <c:pt idx="11">
                  <c:v>36.23014895671154</c:v>
                </c:pt>
                <c:pt idx="12">
                  <c:v>41.861776686572554</c:v>
                </c:pt>
                <c:pt idx="13">
                  <c:v>47.75403934708916</c:v>
                </c:pt>
                <c:pt idx="14">
                  <c:v>53.99964880307527</c:v>
                </c:pt>
                <c:pt idx="15">
                  <c:v>60.72337259198625</c:v>
                </c:pt>
                <c:pt idx="16">
                  <c:v>68.09519340142111</c:v>
                </c:pt>
              </c:numCache>
            </c:numRef>
          </c:yVal>
          <c:smooth val="1"/>
        </c:ser>
        <c:ser>
          <c:idx val="43"/>
          <c:order val="28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'-'!$D$69:$T$69</c:f>
              <c:numCache>
                <c:ptCount val="17"/>
                <c:pt idx="0">
                  <c:v>0.40762499440825367</c:v>
                </c:pt>
                <c:pt idx="1">
                  <c:v>0.6529663840180876</c:v>
                </c:pt>
                <c:pt idx="2">
                  <c:v>1.0274888736328025</c:v>
                </c:pt>
                <c:pt idx="3">
                  <c:v>1.5900188128322221</c:v>
                </c:pt>
                <c:pt idx="4">
                  <c:v>2.4145003815079136</c:v>
                </c:pt>
                <c:pt idx="5">
                  <c:v>3.457897174364682</c:v>
                </c:pt>
                <c:pt idx="6">
                  <c:v>4.883116301288696</c:v>
                </c:pt>
                <c:pt idx="7">
                  <c:v>6.806821146930022</c:v>
                </c:pt>
                <c:pt idx="8">
                  <c:v>9.375723308190892</c:v>
                </c:pt>
                <c:pt idx="9">
                  <c:v>12.773939013799161</c:v>
                </c:pt>
                <c:pt idx="10">
                  <c:v>17.23271751495737</c:v>
                </c:pt>
                <c:pt idx="11">
                  <c:v>23.043679982608502</c:v>
                </c:pt>
                <c:pt idx="12">
                  <c:v>30.577356732686056</c:v>
                </c:pt>
                <c:pt idx="13">
                  <c:v>40.309882961444735</c:v>
                </c:pt>
                <c:pt idx="14">
                  <c:v>52.862543684490774</c:v>
                </c:pt>
                <c:pt idx="15">
                  <c:v>69.06210308333759</c:v>
                </c:pt>
                <c:pt idx="16">
                  <c:v>90.03585379275266</c:v>
                </c:pt>
              </c:numCache>
            </c:numRef>
          </c:xVal>
          <c:yVal>
            <c:numRef>
              <c:f>'-'!$D$70:$T$70</c:f>
              <c:numCache>
                <c:ptCount val="17"/>
                <c:pt idx="0">
                  <c:v>-20.01501351464553</c:v>
                </c:pt>
                <c:pt idx="1">
                  <c:v>-15.018037388231788</c:v>
                </c:pt>
                <c:pt idx="2">
                  <c:v>-10.018922072326307</c:v>
                </c:pt>
                <c:pt idx="3">
                  <c:v>-5.014640767286474</c:v>
                </c:pt>
                <c:pt idx="4">
                  <c:v>0</c:v>
                </c:pt>
                <c:pt idx="5">
                  <c:v>5.031840043288705</c:v>
                </c:pt>
                <c:pt idx="6">
                  <c:v>10.089926696241555</c:v>
                </c:pt>
                <c:pt idx="7">
                  <c:v>15.188030009900345</c:v>
                </c:pt>
                <c:pt idx="8">
                  <c:v>20.345323670361086</c:v>
                </c:pt>
                <c:pt idx="9">
                  <c:v>25.588107093209565</c:v>
                </c:pt>
                <c:pt idx="10">
                  <c:v>30.952064987460023</c:v>
                </c:pt>
                <c:pt idx="11">
                  <c:v>36.485290660265164</c:v>
                </c:pt>
                <c:pt idx="12">
                  <c:v>42.252431030605784</c:v>
                </c:pt>
                <c:pt idx="13">
                  <c:v>48.3405318850227</c:v>
                </c:pt>
                <c:pt idx="14">
                  <c:v>54.86754115114618</c:v>
                </c:pt>
                <c:pt idx="15">
                  <c:v>61.995102124183596</c:v>
                </c:pt>
                <c:pt idx="16">
                  <c:v>69.94851612205069</c:v>
                </c:pt>
              </c:numCache>
            </c:numRef>
          </c:yVal>
          <c:smooth val="1"/>
        </c:ser>
        <c:ser>
          <c:idx val="42"/>
          <c:order val="29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'-'!$D$67:$T$67</c:f>
              <c:numCache>
                <c:ptCount val="17"/>
                <c:pt idx="2">
                  <c:v>1.199067038535611</c:v>
                </c:pt>
                <c:pt idx="3">
                  <c:v>1.8558123631147272</c:v>
                </c:pt>
                <c:pt idx="4">
                  <c:v>2.8187401721956244</c:v>
                </c:pt>
                <c:pt idx="5">
                  <c:v>4.037953546927052</c:v>
                </c:pt>
                <c:pt idx="6">
                  <c:v>5.7044305519260865</c:v>
                </c:pt>
                <c:pt idx="7">
                  <c:v>7.955797308662894</c:v>
                </c:pt>
                <c:pt idx="8">
                  <c:v>10.965884064962339</c:v>
                </c:pt>
                <c:pt idx="9">
                  <c:v>14.954097479349752</c:v>
                </c:pt>
                <c:pt idx="10">
                  <c:v>20.19807284590844</c:v>
                </c:pt>
                <c:pt idx="11">
                  <c:v>27.051270927523234</c:v>
                </c:pt>
                <c:pt idx="12">
                  <c:v>35.9681858899943</c:v>
                </c:pt>
                <c:pt idx="13">
                  <c:v>47.541534864586765</c:v>
                </c:pt>
                <c:pt idx="14">
                  <c:v>62.55880758117448</c:v>
                </c:pt>
                <c:pt idx="15">
                  <c:v>82.09109270212868</c:v>
                </c:pt>
                <c:pt idx="16">
                  <c:v>107.63779557316913</c:v>
                </c:pt>
              </c:numCache>
            </c:numRef>
          </c:xVal>
          <c:yVal>
            <c:numRef>
              <c:f>'-'!$D$68:$T$68</c:f>
              <c:numCache>
                <c:ptCount val="17"/>
                <c:pt idx="2">
                  <c:v>-10.022081828630457</c:v>
                </c:pt>
                <c:pt idx="3">
                  <c:v>-5.017088173244522</c:v>
                </c:pt>
                <c:pt idx="4">
                  <c:v>0</c:v>
                </c:pt>
                <c:pt idx="5">
                  <c:v>5.037181156422199</c:v>
                </c:pt>
                <c:pt idx="6">
                  <c:v>10.105051889372103</c:v>
                </c:pt>
                <c:pt idx="7">
                  <c:v>15.219769054368015</c:v>
                </c:pt>
                <c:pt idx="8">
                  <c:v>20.403891967541185</c:v>
                </c:pt>
                <c:pt idx="9">
                  <c:v>25.688480725534422</c:v>
                </c:pt>
                <c:pt idx="10">
                  <c:v>31.115893529506625</c:v>
                </c:pt>
                <c:pt idx="11">
                  <c:v>36.74360172017997</c:v>
                </c:pt>
                <c:pt idx="12">
                  <c:v>42.64953765367879</c:v>
                </c:pt>
                <c:pt idx="13">
                  <c:v>48.93982818630288</c:v>
                </c:pt>
                <c:pt idx="14">
                  <c:v>55.760365450543794</c:v>
                </c:pt>
                <c:pt idx="15">
                  <c:v>63.31477107270075</c:v>
                </c:pt>
                <c:pt idx="16">
                  <c:v>71.89344355046107</c:v>
                </c:pt>
              </c:numCache>
            </c:numRef>
          </c:yVal>
          <c:smooth val="1"/>
        </c:ser>
        <c:ser>
          <c:idx val="41"/>
          <c:order val="3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'-'!$D$65:$T$65</c:f>
              <c:numCache>
                <c:ptCount val="17"/>
                <c:pt idx="0">
                  <c:v>0.5436187070908067</c:v>
                </c:pt>
                <c:pt idx="1">
                  <c:v>0.8709265093098391</c:v>
                </c:pt>
                <c:pt idx="2">
                  <c:v>1.3707397023948227</c:v>
                </c:pt>
                <c:pt idx="3">
                  <c:v>2.1218325163374527</c:v>
                </c:pt>
                <c:pt idx="4">
                  <c:v>3.2235035358480615</c:v>
                </c:pt>
                <c:pt idx="5">
                  <c:v>4.619086474674672</c:v>
                </c:pt>
                <c:pt idx="6">
                  <c:v>6.527899036131902</c:v>
                </c:pt>
                <c:pt idx="7">
                  <c:v>9.10897870962555</c:v>
                </c:pt>
                <c:pt idx="8">
                  <c:v>12.56407234294279</c:v>
                </c:pt>
                <c:pt idx="9">
                  <c:v>17.14927850384772</c:v>
                </c:pt>
                <c:pt idx="10">
                  <c:v>23.19105985999445</c:v>
                </c:pt>
                <c:pt idx="11">
                  <c:v>31.10895507666128</c:v>
                </c:pt>
                <c:pt idx="12">
                  <c:v>41.4487946079373</c:v>
                </c:pt>
                <c:pt idx="13">
                  <c:v>54.93280381822583</c:v>
                </c:pt>
                <c:pt idx="14">
                  <c:v>72.53767532001295</c:v>
                </c:pt>
                <c:pt idx="15">
                  <c:v>95.62066115470576</c:v>
                </c:pt>
                <c:pt idx="16">
                  <c:v>126.13179963008344</c:v>
                </c:pt>
              </c:numCache>
            </c:numRef>
          </c:xVal>
          <c:yVal>
            <c:numRef>
              <c:f>'-'!$D$66:$T$66</c:f>
              <c:numCache>
                <c:ptCount val="17"/>
                <c:pt idx="0">
                  <c:v>-20.020022391983936</c:v>
                </c:pt>
                <c:pt idx="1">
                  <c:v>-15.02405826694034</c:v>
                </c:pt>
                <c:pt idx="2">
                  <c:v>-10.025243325212418</c:v>
                </c:pt>
                <c:pt idx="3">
                  <c:v>-5.019537665744493</c:v>
                </c:pt>
                <c:pt idx="4">
                  <c:v>0</c:v>
                </c:pt>
                <c:pt idx="5">
                  <c:v>5.042532182390568</c:v>
                </c:pt>
                <c:pt idx="6">
                  <c:v>10.120216754526785</c:v>
                </c:pt>
                <c:pt idx="7">
                  <c:v>15.251624263364905</c:v>
                </c:pt>
                <c:pt idx="8">
                  <c:v>20.46275593183908</c:v>
                </c:pt>
                <c:pt idx="9">
                  <c:v>25.78954599052368</c:v>
                </c:pt>
                <c:pt idx="10">
                  <c:v>31.28124865365118</c:v>
                </c:pt>
                <c:pt idx="11">
                  <c:v>37.00514155989173</c:v>
                </c:pt>
                <c:pt idx="12">
                  <c:v>43.053257741416374</c:v>
                </c:pt>
                <c:pt idx="13">
                  <c:v>49.55235215800545</c:v>
                </c:pt>
                <c:pt idx="14">
                  <c:v>56.67921168788238</c:v>
                </c:pt>
                <c:pt idx="15">
                  <c:v>64.68514221398654</c:v>
                </c:pt>
                <c:pt idx="16">
                  <c:v>73.93693944427457</c:v>
                </c:pt>
              </c:numCache>
            </c:numRef>
          </c:yVal>
          <c:smooth val="1"/>
        </c:ser>
        <c:ser>
          <c:idx val="40"/>
          <c:order val="3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'-'!$D$63:$T$63</c:f>
              <c:numCache>
                <c:ptCount val="17"/>
                <c:pt idx="2">
                  <c:v>1.5425069433017784</c:v>
                </c:pt>
                <c:pt idx="3">
                  <c:v>2.3880795624103173</c:v>
                </c:pt>
                <c:pt idx="4">
                  <c:v>3.628791490325035</c:v>
                </c:pt>
                <c:pt idx="5">
                  <c:v>5.201298957438983</c:v>
                </c:pt>
                <c:pt idx="6">
                  <c:v>7.353530240578003</c:v>
                </c:pt>
                <c:pt idx="7">
                  <c:v>10.266388478833093</c:v>
                </c:pt>
                <c:pt idx="8">
                  <c:v>14.170349083296838</c:v>
                </c:pt>
                <c:pt idx="9">
                  <c:v>19.359637895340587</c:v>
                </c:pt>
                <c:pt idx="10">
                  <c:v>26.2120665801009</c:v>
                </c:pt>
                <c:pt idx="11">
                  <c:v>35.21767755287378</c:v>
                </c:pt>
                <c:pt idx="12">
                  <c:v>47.0214445197677</c:v>
                </c:pt>
                <c:pt idx="13">
                  <c:v>62.48903339634625</c:v>
                </c:pt>
                <c:pt idx="14">
                  <c:v>82.81168461677181</c:v>
                </c:pt>
                <c:pt idx="15">
                  <c:v>109.68022213317471</c:v>
                </c:pt>
                <c:pt idx="16">
                  <c:v>145.58744330524235</c:v>
                </c:pt>
              </c:numCache>
            </c:numRef>
          </c:xVal>
          <c:yVal>
            <c:numRef>
              <c:f>'-'!$D$64:$T$64</c:f>
              <c:numCache>
                <c:ptCount val="17"/>
                <c:pt idx="2">
                  <c:v>-10.028406563510309</c:v>
                </c:pt>
                <c:pt idx="3">
                  <c:v>-5.021989247455857</c:v>
                </c:pt>
                <c:pt idx="4">
                  <c:v>0</c:v>
                </c:pt>
                <c:pt idx="5">
                  <c:v>5.047893148816022</c:v>
                </c:pt>
                <c:pt idx="6">
                  <c:v>10.135421447994803</c:v>
                </c:pt>
                <c:pt idx="7">
                  <c:v>15.283596275801429</c:v>
                </c:pt>
                <c:pt idx="8">
                  <c:v>20.521917807820437</c:v>
                </c:pt>
                <c:pt idx="9">
                  <c:v>25.891310061518155</c:v>
                </c:pt>
                <c:pt idx="10">
                  <c:v>31.448151797197653</c:v>
                </c:pt>
                <c:pt idx="11">
                  <c:v>37.26997109771494</c:v>
                </c:pt>
                <c:pt idx="12">
                  <c:v>43.46375789333734</c:v>
                </c:pt>
                <c:pt idx="13">
                  <c:v>50.178546628984336</c:v>
                </c:pt>
                <c:pt idx="14">
                  <c:v>57.62523432609879</c:v>
                </c:pt>
                <c:pt idx="15">
                  <c:v>66.10919477645918</c:v>
                </c:pt>
                <c:pt idx="16">
                  <c:v>76.08669175531193</c:v>
                </c:pt>
              </c:numCache>
            </c:numRef>
          </c:yVal>
          <c:smooth val="1"/>
        </c:ser>
        <c:ser>
          <c:idx val="39"/>
          <c:order val="3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'-'!$D$61:$T$61</c:f>
              <c:numCache>
                <c:ptCount val="17"/>
                <c:pt idx="0">
                  <c:v>0.679671841886625</c:v>
                </c:pt>
                <c:pt idx="1">
                  <c:v>1.0890392332050733</c:v>
                </c:pt>
                <c:pt idx="2">
                  <c:v>1.7143688394338854</c:v>
                </c:pt>
                <c:pt idx="3">
                  <c:v>2.6545537917379836</c:v>
                </c:pt>
                <c:pt idx="4">
                  <c:v>4.034605056126444</c:v>
                </c:pt>
                <c:pt idx="5">
                  <c:v>5.784594006207192</c:v>
                </c:pt>
                <c:pt idx="6">
                  <c:v>8.181332696572877</c:v>
                </c:pt>
                <c:pt idx="7">
                  <c:v>11.428049915226383</c:v>
                </c:pt>
                <c:pt idx="8">
                  <c:v>15.784775845602827</c:v>
                </c:pt>
                <c:pt idx="9">
                  <c:v>21.58533362399009</c:v>
                </c:pt>
                <c:pt idx="10">
                  <c:v>29.261488328455677</c:v>
                </c:pt>
                <c:pt idx="11">
                  <c:v>39.378407405358814</c:v>
                </c:pt>
                <c:pt idx="12">
                  <c:v>52.688473865619855</c:v>
                </c:pt>
                <c:pt idx="13">
                  <c:v>70.21580838371148</c:v>
                </c:pt>
                <c:pt idx="14">
                  <c:v>93.39412596703367</c:v>
                </c:pt>
                <c:pt idx="15">
                  <c:v>124.30153980679998</c:v>
                </c:pt>
                <c:pt idx="16">
                  <c:v>166.08173275780035</c:v>
                </c:pt>
              </c:numCache>
            </c:numRef>
          </c:xVal>
          <c:yVal>
            <c:numRef>
              <c:f>'-'!$D$62:$T$62</c:f>
              <c:numCache>
                <c:ptCount val="17"/>
                <c:pt idx="0">
                  <c:v>-20.025033457938793</c:v>
                </c:pt>
                <c:pt idx="1">
                  <c:v>-15.030083360996457</c:v>
                </c:pt>
                <c:pt idx="2">
                  <c:v>-10.03157154496383</c:v>
                </c:pt>
                <c:pt idx="3">
                  <c:v>-5.0244429210526365</c:v>
                </c:pt>
                <c:pt idx="4">
                  <c:v>0</c:v>
                </c:pt>
                <c:pt idx="5">
                  <c:v>5.053264083423492</c:v>
                </c:pt>
                <c:pt idx="6">
                  <c:v>10.150666126887382</c:v>
                </c:pt>
                <c:pt idx="7">
                  <c:v>15.315685735281996</c:v>
                </c:pt>
                <c:pt idx="8">
                  <c:v>20.581379862828143</c:v>
                </c:pt>
                <c:pt idx="9">
                  <c:v>25.99378021140152</c:v>
                </c:pt>
                <c:pt idx="10">
                  <c:v>31.616624800720622</c:v>
                </c:pt>
                <c:pt idx="11">
                  <c:v>37.538152794147386</c:v>
                </c:pt>
                <c:pt idx="12">
                  <c:v>43.881210352081304</c:v>
                </c:pt>
                <c:pt idx="13">
                  <c:v>50.81887441754124</c:v>
                </c:pt>
                <c:pt idx="14">
                  <c:v>58.599657143499144</c:v>
                </c:pt>
                <c:pt idx="15">
                  <c:v>67.59014606161945</c:v>
                </c:pt>
                <c:pt idx="16">
                  <c:v>78.35120928294111</c:v>
                </c:pt>
              </c:numCache>
            </c:numRef>
          </c:yVal>
          <c:smooth val="1"/>
        </c:ser>
        <c:ser>
          <c:idx val="30"/>
          <c:order val="3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'-'!$C$26:$G$26</c:f>
              <c:numCache>
                <c:ptCount val="5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'-'!$C$43:$F$43</c:f>
              <c:numCache>
                <c:ptCount val="4"/>
                <c:pt idx="0">
                  <c:v>39.603960396039604</c:v>
                </c:pt>
                <c:pt idx="1">
                  <c:v>-22.301980198019802</c:v>
                </c:pt>
              </c:numCache>
            </c:numRef>
          </c:yVal>
          <c:smooth val="0"/>
        </c:ser>
        <c:ser>
          <c:idx val="29"/>
          <c:order val="34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'-'!$C$26:$G$26</c:f>
              <c:numCache>
                <c:ptCount val="5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'-'!$C$42:$F$42</c:f>
              <c:numCache>
                <c:ptCount val="4"/>
                <c:pt idx="0">
                  <c:v>44.554455445544555</c:v>
                </c:pt>
                <c:pt idx="1">
                  <c:v>-17.35148514851485</c:v>
                </c:pt>
              </c:numCache>
            </c:numRef>
          </c:yVal>
          <c:smooth val="0"/>
        </c:ser>
        <c:ser>
          <c:idx val="28"/>
          <c:order val="35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'-'!$C$26:$G$26</c:f>
              <c:numCache>
                <c:ptCount val="5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'-'!$C$41:$F$41</c:f>
              <c:numCache>
                <c:ptCount val="4"/>
                <c:pt idx="0">
                  <c:v>49.504950495049506</c:v>
                </c:pt>
                <c:pt idx="1">
                  <c:v>-12.4009900990099</c:v>
                </c:pt>
              </c:numCache>
            </c:numRef>
          </c:yVal>
          <c:smooth val="0"/>
        </c:ser>
        <c:ser>
          <c:idx val="27"/>
          <c:order val="36"/>
          <c:tx>
            <c:v>55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'-'!$C$26:$G$26</c:f>
              <c:numCache>
                <c:ptCount val="5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'-'!$C$40:$F$40</c:f>
              <c:numCache>
                <c:ptCount val="4"/>
                <c:pt idx="0">
                  <c:v>54.45544554455446</c:v>
                </c:pt>
                <c:pt idx="1">
                  <c:v>-7.450495049504949</c:v>
                </c:pt>
              </c:numCache>
            </c:numRef>
          </c:yVal>
          <c:smooth val="0"/>
        </c:ser>
        <c:ser>
          <c:idx val="26"/>
          <c:order val="37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'-'!$C$26:$G$26</c:f>
              <c:numCache>
                <c:ptCount val="5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'-'!$C$39:$F$39</c:f>
              <c:numCache>
                <c:ptCount val="4"/>
                <c:pt idx="0">
                  <c:v>59.40594059405941</c:v>
                </c:pt>
                <c:pt idx="1">
                  <c:v>-2.4999999999999987</c:v>
                </c:pt>
              </c:numCache>
            </c:numRef>
          </c:yVal>
          <c:smooth val="0"/>
        </c:ser>
        <c:ser>
          <c:idx val="25"/>
          <c:order val="38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'-'!$C$26:$G$26</c:f>
              <c:numCache>
                <c:ptCount val="5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'-'!$C$38:$F$38</c:f>
              <c:numCache>
                <c:ptCount val="4"/>
                <c:pt idx="0">
                  <c:v>64.35643564356435</c:v>
                </c:pt>
                <c:pt idx="1">
                  <c:v>2.450495049504952</c:v>
                </c:pt>
              </c:numCache>
            </c:numRef>
          </c:yVal>
          <c:smooth val="0"/>
        </c:ser>
        <c:ser>
          <c:idx val="24"/>
          <c:order val="39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'-'!$C$26:$G$26</c:f>
              <c:numCache>
                <c:ptCount val="5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'-'!$C$37:$F$37</c:f>
              <c:numCache>
                <c:ptCount val="4"/>
                <c:pt idx="0">
                  <c:v>69.3069306930693</c:v>
                </c:pt>
                <c:pt idx="1">
                  <c:v>7.400990099009903</c:v>
                </c:pt>
              </c:numCache>
            </c:numRef>
          </c:yVal>
          <c:smooth val="0"/>
        </c:ser>
        <c:ser>
          <c:idx val="23"/>
          <c:order val="4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'-'!$C$26:$G$26</c:f>
              <c:numCache>
                <c:ptCount val="5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'-'!$C$36:$F$36</c:f>
              <c:numCache>
                <c:ptCount val="4"/>
                <c:pt idx="0">
                  <c:v>74.25742574257426</c:v>
                </c:pt>
                <c:pt idx="1">
                  <c:v>12.351485148514852</c:v>
                </c:pt>
              </c:numCache>
            </c:numRef>
          </c:yVal>
          <c:smooth val="0"/>
        </c:ser>
        <c:ser>
          <c:idx val="22"/>
          <c:order val="4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'-'!$C$26:$G$26</c:f>
              <c:numCache>
                <c:ptCount val="5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'-'!$C$35:$F$35</c:f>
              <c:numCache>
                <c:ptCount val="4"/>
                <c:pt idx="0">
                  <c:v>79.20792079207921</c:v>
                </c:pt>
                <c:pt idx="1">
                  <c:v>17.301980198019802</c:v>
                </c:pt>
              </c:numCache>
            </c:numRef>
          </c:yVal>
          <c:smooth val="0"/>
        </c:ser>
        <c:ser>
          <c:idx val="21"/>
          <c:order val="42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'-'!$C$26:$G$26</c:f>
              <c:numCache>
                <c:ptCount val="5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'-'!$C$34:$F$34</c:f>
              <c:numCache>
                <c:ptCount val="4"/>
                <c:pt idx="0">
                  <c:v>84.15841584158416</c:v>
                </c:pt>
                <c:pt idx="1">
                  <c:v>22.252475247524753</c:v>
                </c:pt>
              </c:numCache>
            </c:numRef>
          </c:yVal>
          <c:smooth val="0"/>
        </c:ser>
        <c:ser>
          <c:idx val="20"/>
          <c:order val="4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'-'!$C$26:$D$26</c:f>
              <c:numCach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'-'!$C$33:$D$33</c:f>
              <c:numCache>
                <c:ptCount val="2"/>
                <c:pt idx="0">
                  <c:v>89.10891089108911</c:v>
                </c:pt>
                <c:pt idx="1">
                  <c:v>27.202970297029704</c:v>
                </c:pt>
              </c:numCache>
            </c:numRef>
          </c:yVal>
          <c:smooth val="0"/>
        </c:ser>
        <c:ser>
          <c:idx val="19"/>
          <c:order val="44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'-'!$C$26:$D$26</c:f>
              <c:numCach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'-'!$C$32:$D$32</c:f>
              <c:numCache>
                <c:ptCount val="2"/>
                <c:pt idx="0">
                  <c:v>94.05940594059406</c:v>
                </c:pt>
                <c:pt idx="1">
                  <c:v>32.15346534653465</c:v>
                </c:pt>
              </c:numCache>
            </c:numRef>
          </c:yVal>
          <c:smooth val="0"/>
        </c:ser>
        <c:ser>
          <c:idx val="18"/>
          <c:order val="45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'-'!$C$26:$D$26</c:f>
              <c:numCach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'-'!$C$31:$FD$31</c:f>
              <c:numCache>
                <c:ptCount val="158"/>
                <c:pt idx="0">
                  <c:v>99.00990099009901</c:v>
                </c:pt>
                <c:pt idx="1">
                  <c:v>37.103960396039604</c:v>
                </c:pt>
              </c:numCache>
            </c:numRef>
          </c:yVal>
          <c:smooth val="0"/>
        </c:ser>
        <c:ser>
          <c:idx val="17"/>
          <c:order val="46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'-'!$C$26:$D$26</c:f>
              <c:numCach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'-'!$C$30:$D$30</c:f>
              <c:numCache>
                <c:ptCount val="2"/>
                <c:pt idx="0">
                  <c:v>103.96039603960396</c:v>
                </c:pt>
                <c:pt idx="1">
                  <c:v>42.054455445544555</c:v>
                </c:pt>
              </c:numCache>
            </c:numRef>
          </c:yVal>
          <c:smooth val="0"/>
        </c:ser>
        <c:ser>
          <c:idx val="16"/>
          <c:order val="47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'-'!$C$26:$D$26</c:f>
              <c:numCach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'-'!$C$29:$D$29</c:f>
              <c:numCache>
                <c:ptCount val="2"/>
                <c:pt idx="0">
                  <c:v>108.91089108910892</c:v>
                </c:pt>
                <c:pt idx="1">
                  <c:v>47.004950495049506</c:v>
                </c:pt>
              </c:numCache>
            </c:numRef>
          </c:yVal>
          <c:smooth val="0"/>
        </c:ser>
        <c:ser>
          <c:idx val="15"/>
          <c:order val="48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'-'!$C$26:$D$26</c:f>
              <c:numCach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'-'!$C$28:$D$28</c:f>
              <c:numCache>
                <c:ptCount val="2"/>
                <c:pt idx="0">
                  <c:v>113.86138613861387</c:v>
                </c:pt>
                <c:pt idx="1">
                  <c:v>51.95544554455446</c:v>
                </c:pt>
              </c:numCache>
            </c:numRef>
          </c:yVal>
          <c:smooth val="0"/>
        </c:ser>
        <c:ser>
          <c:idx val="10"/>
          <c:order val="49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'-'!$C$6:$R$6</c:f>
              <c:numCache>
                <c:ptCount val="1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</c:numCache>
            </c:numRef>
          </c:xVal>
          <c:yVal>
            <c:numRef>
              <c:f>'-'!$C$18:$R$18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13"/>
          <c:order val="5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'-'!$C$6:$R$6</c:f>
              <c:numCache>
                <c:ptCount val="1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</c:numCache>
            </c:numRef>
          </c:xVal>
          <c:yVal>
            <c:numRef>
              <c:f>'-'!$C$21:$R$21</c:f>
              <c:numCache>
                <c:ptCount val="16"/>
                <c:pt idx="0">
                  <c:v>-15</c:v>
                </c:pt>
                <c:pt idx="1">
                  <c:v>-15.055247524752476</c:v>
                </c:pt>
                <c:pt idx="2">
                  <c:v>-15.11049504950495</c:v>
                </c:pt>
                <c:pt idx="3">
                  <c:v>-15.165742574257427</c:v>
                </c:pt>
                <c:pt idx="4">
                  <c:v>-15.220990099009901</c:v>
                </c:pt>
                <c:pt idx="5">
                  <c:v>-15.276237623762377</c:v>
                </c:pt>
                <c:pt idx="6">
                  <c:v>-15.331485148514851</c:v>
                </c:pt>
                <c:pt idx="7">
                  <c:v>-15.386732673267327</c:v>
                </c:pt>
                <c:pt idx="8">
                  <c:v>-15.441980198019802</c:v>
                </c:pt>
                <c:pt idx="9">
                  <c:v>-15.497227722772278</c:v>
                </c:pt>
                <c:pt idx="10">
                  <c:v>-15.552475247524752</c:v>
                </c:pt>
                <c:pt idx="11">
                  <c:v>-15.607722772277228</c:v>
                </c:pt>
                <c:pt idx="12">
                  <c:v>-15.662970297029704</c:v>
                </c:pt>
                <c:pt idx="13">
                  <c:v>-15.71821782178218</c:v>
                </c:pt>
                <c:pt idx="14">
                  <c:v>-15.773465346534653</c:v>
                </c:pt>
                <c:pt idx="15">
                  <c:v>-15.828712871287129</c:v>
                </c:pt>
              </c:numCache>
            </c:numRef>
          </c:yVal>
          <c:smooth val="1"/>
        </c:ser>
        <c:ser>
          <c:idx val="12"/>
          <c:order val="5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'-'!$C$6:$R$6</c:f>
              <c:numCache>
                <c:ptCount val="1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</c:numCache>
            </c:numRef>
          </c:xVal>
          <c:yVal>
            <c:numRef>
              <c:f>'-'!$C$20:$R$20</c:f>
              <c:numCache>
                <c:ptCount val="16"/>
                <c:pt idx="0">
                  <c:v>-10</c:v>
                </c:pt>
                <c:pt idx="1">
                  <c:v>-10.036831683168316</c:v>
                </c:pt>
                <c:pt idx="2">
                  <c:v>-10.073663366336634</c:v>
                </c:pt>
                <c:pt idx="3">
                  <c:v>-10.11049504950495</c:v>
                </c:pt>
                <c:pt idx="4">
                  <c:v>-10.147326732673266</c:v>
                </c:pt>
                <c:pt idx="5">
                  <c:v>-10.184158415841583</c:v>
                </c:pt>
                <c:pt idx="6">
                  <c:v>-10.220990099009901</c:v>
                </c:pt>
                <c:pt idx="7">
                  <c:v>-10.257821782178217</c:v>
                </c:pt>
                <c:pt idx="8">
                  <c:v>-10.294653465346533</c:v>
                </c:pt>
                <c:pt idx="9">
                  <c:v>-10.331485148514851</c:v>
                </c:pt>
                <c:pt idx="10">
                  <c:v>-10.368316831683169</c:v>
                </c:pt>
                <c:pt idx="11">
                  <c:v>-10.405148514851485</c:v>
                </c:pt>
                <c:pt idx="12">
                  <c:v>-10.441980198019802</c:v>
                </c:pt>
                <c:pt idx="13">
                  <c:v>-10.47881188118812</c:v>
                </c:pt>
                <c:pt idx="14">
                  <c:v>-10.515643564356434</c:v>
                </c:pt>
                <c:pt idx="15">
                  <c:v>-10.552475247524752</c:v>
                </c:pt>
              </c:numCache>
            </c:numRef>
          </c:yVal>
          <c:smooth val="1"/>
        </c:ser>
        <c:ser>
          <c:idx val="11"/>
          <c:order val="52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'-'!$C$6:$R$6</c:f>
              <c:numCache>
                <c:ptCount val="1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</c:numCache>
            </c:numRef>
          </c:xVal>
          <c:yVal>
            <c:numRef>
              <c:f>'-'!$C$19:$R$19</c:f>
              <c:numCache>
                <c:ptCount val="16"/>
                <c:pt idx="0">
                  <c:v>-5</c:v>
                </c:pt>
                <c:pt idx="1">
                  <c:v>-5.018415841584158</c:v>
                </c:pt>
                <c:pt idx="2">
                  <c:v>-5.036831683168317</c:v>
                </c:pt>
                <c:pt idx="3">
                  <c:v>-5.055247524752475</c:v>
                </c:pt>
                <c:pt idx="4">
                  <c:v>-5.073663366336633</c:v>
                </c:pt>
                <c:pt idx="5">
                  <c:v>-5.092079207920792</c:v>
                </c:pt>
                <c:pt idx="6">
                  <c:v>-5.110495049504951</c:v>
                </c:pt>
                <c:pt idx="7">
                  <c:v>-5.128910891089109</c:v>
                </c:pt>
                <c:pt idx="8">
                  <c:v>-5.147326732673267</c:v>
                </c:pt>
                <c:pt idx="9">
                  <c:v>-5.1657425742574254</c:v>
                </c:pt>
                <c:pt idx="10">
                  <c:v>-5.184158415841584</c:v>
                </c:pt>
                <c:pt idx="11">
                  <c:v>-5.202574257425742</c:v>
                </c:pt>
                <c:pt idx="12">
                  <c:v>-5.220990099009901</c:v>
                </c:pt>
                <c:pt idx="13">
                  <c:v>-5.23940594059406</c:v>
                </c:pt>
                <c:pt idx="14">
                  <c:v>-5.257821782178217</c:v>
                </c:pt>
                <c:pt idx="15">
                  <c:v>-5.276237623762376</c:v>
                </c:pt>
              </c:numCache>
            </c:numRef>
          </c:yVal>
          <c:smooth val="1"/>
        </c:ser>
        <c:ser>
          <c:idx val="9"/>
          <c:order val="5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'-'!$C$6:$R$6</c:f>
              <c:numCache>
                <c:ptCount val="1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</c:numCache>
            </c:numRef>
          </c:xVal>
          <c:yVal>
            <c:numRef>
              <c:f>'-'!$C$17:$R$17</c:f>
              <c:numCache>
                <c:ptCount val="16"/>
                <c:pt idx="0">
                  <c:v>5</c:v>
                </c:pt>
                <c:pt idx="1">
                  <c:v>5.018415841584158</c:v>
                </c:pt>
                <c:pt idx="2">
                  <c:v>5.036831683168317</c:v>
                </c:pt>
                <c:pt idx="3">
                  <c:v>5.055247524752475</c:v>
                </c:pt>
                <c:pt idx="4">
                  <c:v>5.073663366336633</c:v>
                </c:pt>
                <c:pt idx="5">
                  <c:v>5.092079207920792</c:v>
                </c:pt>
                <c:pt idx="6">
                  <c:v>5.110495049504951</c:v>
                </c:pt>
                <c:pt idx="7">
                  <c:v>5.128910891089109</c:v>
                </c:pt>
                <c:pt idx="8">
                  <c:v>5.147326732673267</c:v>
                </c:pt>
                <c:pt idx="9">
                  <c:v>5.1657425742574254</c:v>
                </c:pt>
                <c:pt idx="10">
                  <c:v>5.184158415841584</c:v>
                </c:pt>
                <c:pt idx="11">
                  <c:v>5.202574257425742</c:v>
                </c:pt>
                <c:pt idx="12">
                  <c:v>5.220990099009901</c:v>
                </c:pt>
                <c:pt idx="13">
                  <c:v>5.23940594059406</c:v>
                </c:pt>
                <c:pt idx="14">
                  <c:v>5.257821782178217</c:v>
                </c:pt>
                <c:pt idx="15">
                  <c:v>5.276237623762376</c:v>
                </c:pt>
              </c:numCache>
            </c:numRef>
          </c:yVal>
          <c:smooth val="1"/>
        </c:ser>
        <c:ser>
          <c:idx val="8"/>
          <c:order val="54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'-'!$C$6:$R$6</c:f>
              <c:numCache>
                <c:ptCount val="1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</c:numCache>
            </c:numRef>
          </c:xVal>
          <c:yVal>
            <c:numRef>
              <c:f>'-'!$C$16:$R$16</c:f>
              <c:numCache>
                <c:ptCount val="16"/>
                <c:pt idx="0">
                  <c:v>10</c:v>
                </c:pt>
                <c:pt idx="1">
                  <c:v>10.036831683168316</c:v>
                </c:pt>
                <c:pt idx="2">
                  <c:v>10.073663366336634</c:v>
                </c:pt>
                <c:pt idx="3">
                  <c:v>10.11049504950495</c:v>
                </c:pt>
                <c:pt idx="4">
                  <c:v>10.147326732673266</c:v>
                </c:pt>
                <c:pt idx="5">
                  <c:v>10.184158415841583</c:v>
                </c:pt>
                <c:pt idx="6">
                  <c:v>10.220990099009901</c:v>
                </c:pt>
                <c:pt idx="7">
                  <c:v>10.257821782178217</c:v>
                </c:pt>
                <c:pt idx="8">
                  <c:v>10.294653465346533</c:v>
                </c:pt>
                <c:pt idx="9">
                  <c:v>10.331485148514851</c:v>
                </c:pt>
                <c:pt idx="10">
                  <c:v>10.368316831683169</c:v>
                </c:pt>
                <c:pt idx="11">
                  <c:v>10.405148514851485</c:v>
                </c:pt>
                <c:pt idx="12">
                  <c:v>10.441980198019802</c:v>
                </c:pt>
                <c:pt idx="13">
                  <c:v>10.47881188118812</c:v>
                </c:pt>
                <c:pt idx="14">
                  <c:v>10.515643564356434</c:v>
                </c:pt>
                <c:pt idx="15">
                  <c:v>10.552475247524752</c:v>
                </c:pt>
              </c:numCache>
            </c:numRef>
          </c:yVal>
          <c:smooth val="1"/>
        </c:ser>
        <c:ser>
          <c:idx val="7"/>
          <c:order val="55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'-'!$C$6:$R$6</c:f>
              <c:numCache>
                <c:ptCount val="1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</c:numCache>
            </c:numRef>
          </c:xVal>
          <c:yVal>
            <c:numRef>
              <c:f>'-'!$C$15:$R$15</c:f>
              <c:numCache>
                <c:ptCount val="16"/>
                <c:pt idx="0">
                  <c:v>15</c:v>
                </c:pt>
                <c:pt idx="1">
                  <c:v>15.055247524752476</c:v>
                </c:pt>
                <c:pt idx="2">
                  <c:v>15.11049504950495</c:v>
                </c:pt>
                <c:pt idx="3">
                  <c:v>15.165742574257427</c:v>
                </c:pt>
                <c:pt idx="4">
                  <c:v>15.220990099009901</c:v>
                </c:pt>
                <c:pt idx="5">
                  <c:v>15.276237623762377</c:v>
                </c:pt>
                <c:pt idx="6">
                  <c:v>15.331485148514851</c:v>
                </c:pt>
                <c:pt idx="7">
                  <c:v>15.386732673267327</c:v>
                </c:pt>
                <c:pt idx="8">
                  <c:v>15.441980198019802</c:v>
                </c:pt>
                <c:pt idx="9">
                  <c:v>15.497227722772278</c:v>
                </c:pt>
                <c:pt idx="10">
                  <c:v>15.552475247524752</c:v>
                </c:pt>
                <c:pt idx="11">
                  <c:v>15.607722772277228</c:v>
                </c:pt>
                <c:pt idx="12">
                  <c:v>15.662970297029704</c:v>
                </c:pt>
                <c:pt idx="13">
                  <c:v>15.71821782178218</c:v>
                </c:pt>
                <c:pt idx="14">
                  <c:v>15.773465346534653</c:v>
                </c:pt>
                <c:pt idx="15">
                  <c:v>15.828712871287129</c:v>
                </c:pt>
              </c:numCache>
            </c:numRef>
          </c:yVal>
          <c:smooth val="1"/>
        </c:ser>
        <c:ser>
          <c:idx val="6"/>
          <c:order val="56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'-'!$C$6:$R$6</c:f>
              <c:numCache>
                <c:ptCount val="1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</c:numCache>
            </c:numRef>
          </c:xVal>
          <c:yVal>
            <c:numRef>
              <c:f>'-'!$C$14:$R$14</c:f>
              <c:numCache>
                <c:ptCount val="16"/>
                <c:pt idx="0">
                  <c:v>20</c:v>
                </c:pt>
                <c:pt idx="1">
                  <c:v>20.073663366336632</c:v>
                </c:pt>
                <c:pt idx="2">
                  <c:v>20.147326732673267</c:v>
                </c:pt>
                <c:pt idx="3">
                  <c:v>20.2209900990099</c:v>
                </c:pt>
                <c:pt idx="4">
                  <c:v>20.29465346534653</c:v>
                </c:pt>
                <c:pt idx="5">
                  <c:v>20.368316831683167</c:v>
                </c:pt>
                <c:pt idx="6">
                  <c:v>20.441980198019802</c:v>
                </c:pt>
                <c:pt idx="7">
                  <c:v>20.515643564356434</c:v>
                </c:pt>
                <c:pt idx="8">
                  <c:v>20.589306930693066</c:v>
                </c:pt>
                <c:pt idx="9">
                  <c:v>20.662970297029702</c:v>
                </c:pt>
                <c:pt idx="10">
                  <c:v>20.736633663366337</c:v>
                </c:pt>
                <c:pt idx="11">
                  <c:v>20.81029702970297</c:v>
                </c:pt>
                <c:pt idx="12">
                  <c:v>20.883960396039605</c:v>
                </c:pt>
                <c:pt idx="13">
                  <c:v>20.95762376237624</c:v>
                </c:pt>
                <c:pt idx="14">
                  <c:v>21.03128712871287</c:v>
                </c:pt>
                <c:pt idx="15">
                  <c:v>21.104950495049504</c:v>
                </c:pt>
              </c:numCache>
            </c:numRef>
          </c:yVal>
          <c:smooth val="1"/>
        </c:ser>
        <c:ser>
          <c:idx val="5"/>
          <c:order val="57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'-'!$C$6:$R$6</c:f>
              <c:numCache>
                <c:ptCount val="1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</c:numCache>
            </c:numRef>
          </c:xVal>
          <c:yVal>
            <c:numRef>
              <c:f>'-'!$C$13:$R$13</c:f>
              <c:numCache>
                <c:ptCount val="16"/>
                <c:pt idx="0">
                  <c:v>25</c:v>
                </c:pt>
                <c:pt idx="1">
                  <c:v>25.092079207920793</c:v>
                </c:pt>
                <c:pt idx="2">
                  <c:v>25.184158415841583</c:v>
                </c:pt>
                <c:pt idx="3">
                  <c:v>25.276237623762377</c:v>
                </c:pt>
                <c:pt idx="4">
                  <c:v>25.368316831683167</c:v>
                </c:pt>
                <c:pt idx="5">
                  <c:v>25.46039603960396</c:v>
                </c:pt>
                <c:pt idx="6">
                  <c:v>25.552475247524754</c:v>
                </c:pt>
                <c:pt idx="7">
                  <c:v>25.644554455445544</c:v>
                </c:pt>
                <c:pt idx="8">
                  <c:v>25.736633663366337</c:v>
                </c:pt>
                <c:pt idx="9">
                  <c:v>25.828712871287127</c:v>
                </c:pt>
                <c:pt idx="10">
                  <c:v>25.92079207920792</c:v>
                </c:pt>
                <c:pt idx="11">
                  <c:v>26.01287128712871</c:v>
                </c:pt>
                <c:pt idx="12">
                  <c:v>26.104950495049504</c:v>
                </c:pt>
                <c:pt idx="13">
                  <c:v>26.197029702970298</c:v>
                </c:pt>
                <c:pt idx="14">
                  <c:v>26.289108910891088</c:v>
                </c:pt>
                <c:pt idx="15">
                  <c:v>26.38118811881188</c:v>
                </c:pt>
              </c:numCache>
            </c:numRef>
          </c:yVal>
          <c:smooth val="0"/>
        </c:ser>
        <c:ser>
          <c:idx val="4"/>
          <c:order val="58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'-'!$C$6:$R$6</c:f>
              <c:numCache>
                <c:ptCount val="1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</c:numCache>
            </c:numRef>
          </c:xVal>
          <c:yVal>
            <c:numRef>
              <c:f>'-'!$C$12:$R$12</c:f>
              <c:numCache>
                <c:ptCount val="16"/>
                <c:pt idx="0">
                  <c:v>30</c:v>
                </c:pt>
                <c:pt idx="1">
                  <c:v>30.11049504950495</c:v>
                </c:pt>
                <c:pt idx="2">
                  <c:v>30.2209900990099</c:v>
                </c:pt>
                <c:pt idx="3">
                  <c:v>30.331485148514854</c:v>
                </c:pt>
                <c:pt idx="4">
                  <c:v>30.441980198019802</c:v>
                </c:pt>
                <c:pt idx="5">
                  <c:v>30.552475247524754</c:v>
                </c:pt>
                <c:pt idx="6">
                  <c:v>30.662970297029702</c:v>
                </c:pt>
                <c:pt idx="7">
                  <c:v>30.773465346534653</c:v>
                </c:pt>
                <c:pt idx="8">
                  <c:v>30.883960396039605</c:v>
                </c:pt>
                <c:pt idx="9">
                  <c:v>30.994455445544556</c:v>
                </c:pt>
                <c:pt idx="10">
                  <c:v>31.104950495049504</c:v>
                </c:pt>
                <c:pt idx="11">
                  <c:v>31.215445544554456</c:v>
                </c:pt>
                <c:pt idx="12">
                  <c:v>31.325940594059407</c:v>
                </c:pt>
                <c:pt idx="13">
                  <c:v>31.43643564356436</c:v>
                </c:pt>
                <c:pt idx="14">
                  <c:v>31.546930693069307</c:v>
                </c:pt>
                <c:pt idx="15">
                  <c:v>31.657425742574258</c:v>
                </c:pt>
              </c:numCache>
            </c:numRef>
          </c:yVal>
          <c:smooth val="0"/>
        </c:ser>
        <c:ser>
          <c:idx val="3"/>
          <c:order val="59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'-'!$C$6:$R$6</c:f>
              <c:numCache>
                <c:ptCount val="1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</c:numCache>
            </c:numRef>
          </c:xVal>
          <c:yVal>
            <c:numRef>
              <c:f>'-'!$C$11:$R$11</c:f>
              <c:numCache>
                <c:ptCount val="16"/>
                <c:pt idx="0">
                  <c:v>35</c:v>
                </c:pt>
                <c:pt idx="1">
                  <c:v>35.12891089108911</c:v>
                </c:pt>
                <c:pt idx="2">
                  <c:v>35.25782178217822</c:v>
                </c:pt>
                <c:pt idx="3">
                  <c:v>35.386732673267325</c:v>
                </c:pt>
                <c:pt idx="4">
                  <c:v>35.51564356435644</c:v>
                </c:pt>
                <c:pt idx="5">
                  <c:v>35.64455445544555</c:v>
                </c:pt>
                <c:pt idx="6">
                  <c:v>35.77346534653465</c:v>
                </c:pt>
                <c:pt idx="7">
                  <c:v>35.90237623762376</c:v>
                </c:pt>
                <c:pt idx="8">
                  <c:v>36.031287128712876</c:v>
                </c:pt>
                <c:pt idx="9">
                  <c:v>36.16019801980198</c:v>
                </c:pt>
                <c:pt idx="10">
                  <c:v>36.28910891089109</c:v>
                </c:pt>
                <c:pt idx="11">
                  <c:v>36.4180198019802</c:v>
                </c:pt>
                <c:pt idx="12">
                  <c:v>36.546930693069314</c:v>
                </c:pt>
                <c:pt idx="13">
                  <c:v>36.67584158415841</c:v>
                </c:pt>
                <c:pt idx="14">
                  <c:v>36.804752475247525</c:v>
                </c:pt>
                <c:pt idx="15">
                  <c:v>36.93366336633664</c:v>
                </c:pt>
              </c:numCache>
            </c:numRef>
          </c:yVal>
          <c:smooth val="0"/>
        </c:ser>
        <c:ser>
          <c:idx val="2"/>
          <c:order val="6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'-'!$C$6:$R$6</c:f>
              <c:numCache>
                <c:ptCount val="1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</c:numCache>
            </c:numRef>
          </c:xVal>
          <c:yVal>
            <c:numRef>
              <c:f>'-'!$C$10:$R$10</c:f>
              <c:numCache>
                <c:ptCount val="16"/>
                <c:pt idx="0">
                  <c:v>40</c:v>
                </c:pt>
                <c:pt idx="1">
                  <c:v>40.147326732673264</c:v>
                </c:pt>
                <c:pt idx="2">
                  <c:v>40.294653465346535</c:v>
                </c:pt>
                <c:pt idx="3">
                  <c:v>40.4419801980198</c:v>
                </c:pt>
                <c:pt idx="4">
                  <c:v>40.58930693069306</c:v>
                </c:pt>
                <c:pt idx="5">
                  <c:v>40.736633663366334</c:v>
                </c:pt>
                <c:pt idx="6">
                  <c:v>40.883960396039605</c:v>
                </c:pt>
                <c:pt idx="7">
                  <c:v>41.03128712871287</c:v>
                </c:pt>
                <c:pt idx="8">
                  <c:v>41.17861386138613</c:v>
                </c:pt>
                <c:pt idx="9">
                  <c:v>41.325940594059404</c:v>
                </c:pt>
                <c:pt idx="10">
                  <c:v>41.473267326732675</c:v>
                </c:pt>
                <c:pt idx="11">
                  <c:v>41.62059405940594</c:v>
                </c:pt>
                <c:pt idx="12">
                  <c:v>41.76792079207921</c:v>
                </c:pt>
                <c:pt idx="13">
                  <c:v>41.91524752475248</c:v>
                </c:pt>
                <c:pt idx="14">
                  <c:v>42.06257425742574</c:v>
                </c:pt>
                <c:pt idx="15">
                  <c:v>42.20990099009901</c:v>
                </c:pt>
              </c:numCache>
            </c:numRef>
          </c:yVal>
          <c:smooth val="0"/>
        </c:ser>
        <c:ser>
          <c:idx val="1"/>
          <c:order val="6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'-'!$C$6:$R$6</c:f>
              <c:numCache>
                <c:ptCount val="1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</c:numCache>
            </c:numRef>
          </c:xVal>
          <c:yVal>
            <c:numRef>
              <c:f>'-'!$C$9:$R$9</c:f>
              <c:numCache>
                <c:ptCount val="16"/>
                <c:pt idx="0">
                  <c:v>45</c:v>
                </c:pt>
                <c:pt idx="1">
                  <c:v>45.16574257425743</c:v>
                </c:pt>
                <c:pt idx="2">
                  <c:v>45.33148514851486</c:v>
                </c:pt>
                <c:pt idx="3">
                  <c:v>45.49722772277228</c:v>
                </c:pt>
                <c:pt idx="4">
                  <c:v>45.66297029702971</c:v>
                </c:pt>
                <c:pt idx="5">
                  <c:v>45.82871287128714</c:v>
                </c:pt>
                <c:pt idx="6">
                  <c:v>45.99445544554455</c:v>
                </c:pt>
                <c:pt idx="7">
                  <c:v>46.16019801980198</c:v>
                </c:pt>
                <c:pt idx="8">
                  <c:v>46.325940594059404</c:v>
                </c:pt>
                <c:pt idx="9">
                  <c:v>46.49168316831683</c:v>
                </c:pt>
                <c:pt idx="10">
                  <c:v>46.65742574257426</c:v>
                </c:pt>
                <c:pt idx="11">
                  <c:v>46.82316831683168</c:v>
                </c:pt>
                <c:pt idx="12">
                  <c:v>46.98891089108911</c:v>
                </c:pt>
                <c:pt idx="13">
                  <c:v>47.15465346534654</c:v>
                </c:pt>
                <c:pt idx="14">
                  <c:v>47.32039603960396</c:v>
                </c:pt>
                <c:pt idx="15">
                  <c:v>47.48613861386139</c:v>
                </c:pt>
              </c:numCache>
            </c:numRef>
          </c:yVal>
          <c:smooth val="0"/>
        </c:ser>
        <c:ser>
          <c:idx val="0"/>
          <c:order val="62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'-'!$C$6:$R$6</c:f>
              <c:numCache>
                <c:ptCount val="1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</c:numCache>
            </c:numRef>
          </c:xVal>
          <c:yVal>
            <c:numRef>
              <c:f>'-'!$C$8:$R$8</c:f>
              <c:numCache>
                <c:ptCount val="16"/>
                <c:pt idx="0">
                  <c:v>50</c:v>
                </c:pt>
                <c:pt idx="1">
                  <c:v>50.18415841584159</c:v>
                </c:pt>
                <c:pt idx="2">
                  <c:v>50.36831683168317</c:v>
                </c:pt>
                <c:pt idx="3">
                  <c:v>50.552475247524754</c:v>
                </c:pt>
                <c:pt idx="4">
                  <c:v>50.736633663366334</c:v>
                </c:pt>
                <c:pt idx="5">
                  <c:v>50.92079207920792</c:v>
                </c:pt>
                <c:pt idx="6">
                  <c:v>51.10495049504951</c:v>
                </c:pt>
                <c:pt idx="7">
                  <c:v>51.28910891089109</c:v>
                </c:pt>
                <c:pt idx="8">
                  <c:v>51.473267326732675</c:v>
                </c:pt>
                <c:pt idx="9">
                  <c:v>51.657425742574254</c:v>
                </c:pt>
                <c:pt idx="10">
                  <c:v>51.84158415841584</c:v>
                </c:pt>
                <c:pt idx="11">
                  <c:v>52.02574257425742</c:v>
                </c:pt>
                <c:pt idx="12">
                  <c:v>52.20990099009901</c:v>
                </c:pt>
                <c:pt idx="13">
                  <c:v>52.394059405940595</c:v>
                </c:pt>
                <c:pt idx="14">
                  <c:v>52.578217821782175</c:v>
                </c:pt>
                <c:pt idx="15">
                  <c:v>52.76237623762376</c:v>
                </c:pt>
              </c:numCache>
            </c:numRef>
          </c:yVal>
          <c:smooth val="1"/>
        </c:ser>
        <c:axId val="62426555"/>
        <c:axId val="24968084"/>
      </c:scatterChart>
      <c:valAx>
        <c:axId val="62426555"/>
        <c:scaling>
          <c:orientation val="minMax"/>
          <c:max val="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 [g/kg s.v.]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spPr>
          <a:ln w="3175">
            <a:solidFill/>
          </a:ln>
        </c:spPr>
        <c:crossAx val="24968084"/>
        <c:crossesAt val="-20"/>
        <c:crossBetween val="midCat"/>
        <c:dispUnits/>
        <c:majorUnit val="1"/>
        <c:minorUnit val="0.2"/>
      </c:valAx>
      <c:valAx>
        <c:axId val="24968084"/>
        <c:scaling>
          <c:orientation val="minMax"/>
          <c:max val="55"/>
          <c:min val="-20"/>
        </c:scaling>
        <c:axPos val="l"/>
        <c:delete val="0"/>
        <c:numFmt formatCode="General" sourceLinked="1"/>
        <c:majorTickMark val="out"/>
        <c:minorTickMark val="out"/>
        <c:tickLblPos val="nextTo"/>
        <c:crossAx val="62426555"/>
        <c:crossesAt val="0"/>
        <c:crossBetween val="midCat"/>
        <c:dispUnits/>
        <c:majorUnit val="5"/>
        <c:min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247650</xdr:colOff>
      <xdr:row>1</xdr:row>
      <xdr:rowOff>85725</xdr:rowOff>
    </xdr:from>
    <xdr:to>
      <xdr:col>12</xdr:col>
      <xdr:colOff>361950</xdr:colOff>
      <xdr:row>3</xdr:row>
      <xdr:rowOff>0</xdr:rowOff>
    </xdr:to>
    <xdr:sp macro="[0]!VymazZadani">
      <xdr:nvSpPr>
        <xdr:cNvPr id="1" name="Rectangle 31"/>
        <xdr:cNvSpPr>
          <a:spLocks/>
        </xdr:cNvSpPr>
      </xdr:nvSpPr>
      <xdr:spPr>
        <a:xfrm>
          <a:off x="5791200" y="342900"/>
          <a:ext cx="600075" cy="238125"/>
        </a:xfrm>
        <a:prstGeom prst="rect">
          <a:avLst/>
        </a:prstGeom>
        <a:solidFill>
          <a:srgbClr val="FFFFFF"/>
        </a:solidFill>
        <a:ln w="5715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Удалить</a:t>
          </a:r>
        </a:p>
      </xdr:txBody>
    </xdr:sp>
    <xdr:clientData/>
  </xdr:twoCellAnchor>
  <xdr:twoCellAnchor>
    <xdr:from>
      <xdr:col>12</xdr:col>
      <xdr:colOff>400050</xdr:colOff>
      <xdr:row>1</xdr:row>
      <xdr:rowOff>85725</xdr:rowOff>
    </xdr:from>
    <xdr:to>
      <xdr:col>14</xdr:col>
      <xdr:colOff>0</xdr:colOff>
      <xdr:row>3</xdr:row>
      <xdr:rowOff>0</xdr:rowOff>
    </xdr:to>
    <xdr:sp macro="[0]!Tisk">
      <xdr:nvSpPr>
        <xdr:cNvPr id="2" name="Rectangle 32"/>
        <xdr:cNvSpPr>
          <a:spLocks/>
        </xdr:cNvSpPr>
      </xdr:nvSpPr>
      <xdr:spPr>
        <a:xfrm>
          <a:off x="6429375" y="342900"/>
          <a:ext cx="571500" cy="238125"/>
        </a:xfrm>
        <a:prstGeom prst="rect">
          <a:avLst/>
        </a:prstGeom>
        <a:solidFill>
          <a:srgbClr val="FFFFFF"/>
        </a:solidFill>
        <a:ln w="5715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Печать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12</xdr:col>
      <xdr:colOff>419100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47625" y="485775"/>
        <a:ext cx="5915025" cy="775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4</xdr:row>
      <xdr:rowOff>95250</xdr:rowOff>
    </xdr:from>
    <xdr:to>
      <xdr:col>5</xdr:col>
      <xdr:colOff>76200</xdr:colOff>
      <xdr:row>5</xdr:row>
      <xdr:rowOff>123825</xdr:rowOff>
    </xdr:to>
    <xdr:sp>
      <xdr:nvSpPr>
        <xdr:cNvPr id="2" name="Rectangle 4"/>
        <xdr:cNvSpPr>
          <a:spLocks/>
        </xdr:cNvSpPr>
      </xdr:nvSpPr>
      <xdr:spPr>
        <a:xfrm>
          <a:off x="2190750" y="866775"/>
          <a:ext cx="495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j=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10%</a:t>
          </a:r>
        </a:p>
      </xdr:txBody>
    </xdr:sp>
    <xdr:clientData/>
  </xdr:twoCellAnchor>
  <xdr:twoCellAnchor>
    <xdr:from>
      <xdr:col>7</xdr:col>
      <xdr:colOff>419100</xdr:colOff>
      <xdr:row>4</xdr:row>
      <xdr:rowOff>133350</xdr:rowOff>
    </xdr:from>
    <xdr:to>
      <xdr:col>8</xdr:col>
      <xdr:colOff>304800</xdr:colOff>
      <xdr:row>5</xdr:row>
      <xdr:rowOff>152400</xdr:rowOff>
    </xdr:to>
    <xdr:sp>
      <xdr:nvSpPr>
        <xdr:cNvPr id="3" name="Rectangle 5"/>
        <xdr:cNvSpPr>
          <a:spLocks/>
        </xdr:cNvSpPr>
      </xdr:nvSpPr>
      <xdr:spPr>
        <a:xfrm>
          <a:off x="3867150" y="904875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</a:t>
          </a:r>
        </a:p>
      </xdr:txBody>
    </xdr:sp>
    <xdr:clientData/>
  </xdr:twoCellAnchor>
  <xdr:twoCellAnchor>
    <xdr:from>
      <xdr:col>10</xdr:col>
      <xdr:colOff>295275</xdr:colOff>
      <xdr:row>6</xdr:row>
      <xdr:rowOff>0</xdr:rowOff>
    </xdr:from>
    <xdr:to>
      <xdr:col>11</xdr:col>
      <xdr:colOff>161925</xdr:colOff>
      <xdr:row>7</xdr:row>
      <xdr:rowOff>19050</xdr:rowOff>
    </xdr:to>
    <xdr:sp>
      <xdr:nvSpPr>
        <xdr:cNvPr id="4" name="Rectangle 6"/>
        <xdr:cNvSpPr>
          <a:spLocks/>
        </xdr:cNvSpPr>
      </xdr:nvSpPr>
      <xdr:spPr>
        <a:xfrm>
          <a:off x="5000625" y="1095375"/>
          <a:ext cx="2857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323850</xdr:colOff>
      <xdr:row>15</xdr:row>
      <xdr:rowOff>114300</xdr:rowOff>
    </xdr:from>
    <xdr:to>
      <xdr:col>11</xdr:col>
      <xdr:colOff>180975</xdr:colOff>
      <xdr:row>16</xdr:row>
      <xdr:rowOff>123825</xdr:rowOff>
    </xdr:to>
    <xdr:sp>
      <xdr:nvSpPr>
        <xdr:cNvPr id="5" name="Rectangle 9"/>
        <xdr:cNvSpPr>
          <a:spLocks/>
        </xdr:cNvSpPr>
      </xdr:nvSpPr>
      <xdr:spPr>
        <a:xfrm>
          <a:off x="5029200" y="2667000"/>
          <a:ext cx="2762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70</a:t>
          </a:r>
        </a:p>
      </xdr:txBody>
    </xdr:sp>
    <xdr:clientData/>
  </xdr:twoCellAnchor>
  <xdr:twoCellAnchor>
    <xdr:from>
      <xdr:col>10</xdr:col>
      <xdr:colOff>342900</xdr:colOff>
      <xdr:row>9</xdr:row>
      <xdr:rowOff>47625</xdr:rowOff>
    </xdr:from>
    <xdr:to>
      <xdr:col>11</xdr:col>
      <xdr:colOff>209550</xdr:colOff>
      <xdr:row>10</xdr:row>
      <xdr:rowOff>66675</xdr:rowOff>
    </xdr:to>
    <xdr:sp>
      <xdr:nvSpPr>
        <xdr:cNvPr id="6" name="Rectangle 7"/>
        <xdr:cNvSpPr>
          <a:spLocks/>
        </xdr:cNvSpPr>
      </xdr:nvSpPr>
      <xdr:spPr>
        <a:xfrm>
          <a:off x="5048250" y="1628775"/>
          <a:ext cx="2857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40</a:t>
          </a:r>
        </a:p>
      </xdr:txBody>
    </xdr:sp>
    <xdr:clientData/>
  </xdr:twoCellAnchor>
  <xdr:twoCellAnchor>
    <xdr:from>
      <xdr:col>10</xdr:col>
      <xdr:colOff>314325</xdr:colOff>
      <xdr:row>12</xdr:row>
      <xdr:rowOff>28575</xdr:rowOff>
    </xdr:from>
    <xdr:to>
      <xdr:col>11</xdr:col>
      <xdr:colOff>180975</xdr:colOff>
      <xdr:row>13</xdr:row>
      <xdr:rowOff>47625</xdr:rowOff>
    </xdr:to>
    <xdr:sp>
      <xdr:nvSpPr>
        <xdr:cNvPr id="7" name="Rectangle 8"/>
        <xdr:cNvSpPr>
          <a:spLocks/>
        </xdr:cNvSpPr>
      </xdr:nvSpPr>
      <xdr:spPr>
        <a:xfrm>
          <a:off x="5019675" y="2095500"/>
          <a:ext cx="2857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50</a:t>
          </a:r>
        </a:p>
      </xdr:txBody>
    </xdr:sp>
    <xdr:clientData/>
  </xdr:twoCellAnchor>
  <xdr:twoCellAnchor>
    <xdr:from>
      <xdr:col>12</xdr:col>
      <xdr:colOff>28575</xdr:colOff>
      <xdr:row>20</xdr:row>
      <xdr:rowOff>85725</xdr:rowOff>
    </xdr:from>
    <xdr:to>
      <xdr:col>12</xdr:col>
      <xdr:colOff>238125</xdr:colOff>
      <xdr:row>21</xdr:row>
      <xdr:rowOff>85725</xdr:rowOff>
    </xdr:to>
    <xdr:sp>
      <xdr:nvSpPr>
        <xdr:cNvPr id="8" name="Rectangle 26"/>
        <xdr:cNvSpPr>
          <a:spLocks/>
        </xdr:cNvSpPr>
      </xdr:nvSpPr>
      <xdr:spPr>
        <a:xfrm>
          <a:off x="5572125" y="3448050"/>
          <a:ext cx="209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90</a:t>
          </a:r>
        </a:p>
      </xdr:txBody>
    </xdr:sp>
    <xdr:clientData/>
  </xdr:twoCellAnchor>
  <xdr:twoCellAnchor>
    <xdr:from>
      <xdr:col>12</xdr:col>
      <xdr:colOff>57150</xdr:colOff>
      <xdr:row>8</xdr:row>
      <xdr:rowOff>95250</xdr:rowOff>
    </xdr:from>
    <xdr:to>
      <xdr:col>12</xdr:col>
      <xdr:colOff>342900</xdr:colOff>
      <xdr:row>9</xdr:row>
      <xdr:rowOff>95250</xdr:rowOff>
    </xdr:to>
    <xdr:sp>
      <xdr:nvSpPr>
        <xdr:cNvPr id="9" name="Rectangle 27"/>
        <xdr:cNvSpPr>
          <a:spLocks/>
        </xdr:cNvSpPr>
      </xdr:nvSpPr>
      <xdr:spPr>
        <a:xfrm>
          <a:off x="5600700" y="1514475"/>
          <a:ext cx="285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110</a:t>
          </a:r>
        </a:p>
      </xdr:txBody>
    </xdr:sp>
    <xdr:clientData/>
  </xdr:twoCellAnchor>
  <xdr:twoCellAnchor>
    <xdr:from>
      <xdr:col>12</xdr:col>
      <xdr:colOff>38100</xdr:colOff>
      <xdr:row>14</xdr:row>
      <xdr:rowOff>76200</xdr:rowOff>
    </xdr:from>
    <xdr:to>
      <xdr:col>12</xdr:col>
      <xdr:colOff>304800</xdr:colOff>
      <xdr:row>15</xdr:row>
      <xdr:rowOff>85725</xdr:rowOff>
    </xdr:to>
    <xdr:sp>
      <xdr:nvSpPr>
        <xdr:cNvPr id="10" name="Rectangle 28"/>
        <xdr:cNvSpPr>
          <a:spLocks/>
        </xdr:cNvSpPr>
      </xdr:nvSpPr>
      <xdr:spPr>
        <a:xfrm>
          <a:off x="5581650" y="2466975"/>
          <a:ext cx="266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100</a:t>
          </a:r>
        </a:p>
      </xdr:txBody>
    </xdr:sp>
    <xdr:clientData/>
  </xdr:twoCellAnchor>
  <xdr:twoCellAnchor>
    <xdr:from>
      <xdr:col>1</xdr:col>
      <xdr:colOff>171450</xdr:colOff>
      <xdr:row>41</xdr:row>
      <xdr:rowOff>28575</xdr:rowOff>
    </xdr:from>
    <xdr:to>
      <xdr:col>3</xdr:col>
      <xdr:colOff>295275</xdr:colOff>
      <xdr:row>42</xdr:row>
      <xdr:rowOff>57150</xdr:rowOff>
    </xdr:to>
    <xdr:sp>
      <xdr:nvSpPr>
        <xdr:cNvPr id="11" name="Rectangle 29"/>
        <xdr:cNvSpPr>
          <a:spLocks/>
        </xdr:cNvSpPr>
      </xdr:nvSpPr>
      <xdr:spPr>
        <a:xfrm>
          <a:off x="1104900" y="6791325"/>
          <a:ext cx="962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h=0 kJ/kg s.v.</a:t>
          </a:r>
        </a:p>
      </xdr:txBody>
    </xdr:sp>
    <xdr:clientData/>
  </xdr:twoCellAnchor>
  <xdr:twoCellAnchor>
    <xdr:from>
      <xdr:col>1</xdr:col>
      <xdr:colOff>0</xdr:colOff>
      <xdr:row>44</xdr:row>
      <xdr:rowOff>152400</xdr:rowOff>
    </xdr:from>
    <xdr:to>
      <xdr:col>2</xdr:col>
      <xdr:colOff>28575</xdr:colOff>
      <xdr:row>46</xdr:row>
      <xdr:rowOff>0</xdr:rowOff>
    </xdr:to>
    <xdr:sp>
      <xdr:nvSpPr>
        <xdr:cNvPr id="12" name="Rectangle 30"/>
        <xdr:cNvSpPr>
          <a:spLocks/>
        </xdr:cNvSpPr>
      </xdr:nvSpPr>
      <xdr:spPr>
        <a:xfrm>
          <a:off x="933450" y="74009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-10</a:t>
          </a:r>
        </a:p>
      </xdr:txBody>
    </xdr:sp>
    <xdr:clientData/>
  </xdr:twoCellAnchor>
  <xdr:twoCellAnchor>
    <xdr:from>
      <xdr:col>2</xdr:col>
      <xdr:colOff>304800</xdr:colOff>
      <xdr:row>37</xdr:row>
      <xdr:rowOff>38100</xdr:rowOff>
    </xdr:from>
    <xdr:to>
      <xdr:col>3</xdr:col>
      <xdr:colOff>57150</xdr:colOff>
      <xdr:row>38</xdr:row>
      <xdr:rowOff>47625</xdr:rowOff>
    </xdr:to>
    <xdr:sp>
      <xdr:nvSpPr>
        <xdr:cNvPr id="13" name="Rectangle 31"/>
        <xdr:cNvSpPr>
          <a:spLocks/>
        </xdr:cNvSpPr>
      </xdr:nvSpPr>
      <xdr:spPr>
        <a:xfrm>
          <a:off x="1552575" y="6153150"/>
          <a:ext cx="2762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3</xdr:col>
      <xdr:colOff>171450</xdr:colOff>
      <xdr:row>34</xdr:row>
      <xdr:rowOff>0</xdr:rowOff>
    </xdr:from>
    <xdr:to>
      <xdr:col>3</xdr:col>
      <xdr:colOff>409575</xdr:colOff>
      <xdr:row>35</xdr:row>
      <xdr:rowOff>9525</xdr:rowOff>
    </xdr:to>
    <xdr:sp>
      <xdr:nvSpPr>
        <xdr:cNvPr id="14" name="Rectangle 32"/>
        <xdr:cNvSpPr>
          <a:spLocks/>
        </xdr:cNvSpPr>
      </xdr:nvSpPr>
      <xdr:spPr>
        <a:xfrm>
          <a:off x="1943100" y="5629275"/>
          <a:ext cx="2381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</a:t>
          </a:r>
        </a:p>
      </xdr:txBody>
    </xdr:sp>
    <xdr:clientData/>
  </xdr:twoCellAnchor>
  <xdr:twoCellAnchor>
    <xdr:from>
      <xdr:col>5</xdr:col>
      <xdr:colOff>333375</xdr:colOff>
      <xdr:row>29</xdr:row>
      <xdr:rowOff>142875</xdr:rowOff>
    </xdr:from>
    <xdr:to>
      <xdr:col>6</xdr:col>
      <xdr:colOff>104775</xdr:colOff>
      <xdr:row>31</xdr:row>
      <xdr:rowOff>0</xdr:rowOff>
    </xdr:to>
    <xdr:sp>
      <xdr:nvSpPr>
        <xdr:cNvPr id="15" name="Rectangle 33"/>
        <xdr:cNvSpPr>
          <a:spLocks/>
        </xdr:cNvSpPr>
      </xdr:nvSpPr>
      <xdr:spPr>
        <a:xfrm>
          <a:off x="2943225" y="496252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40</a:t>
          </a:r>
        </a:p>
      </xdr:txBody>
    </xdr:sp>
    <xdr:clientData/>
  </xdr:twoCellAnchor>
  <xdr:twoCellAnchor>
    <xdr:from>
      <xdr:col>4</xdr:col>
      <xdr:colOff>257175</xdr:colOff>
      <xdr:row>32</xdr:row>
      <xdr:rowOff>0</xdr:rowOff>
    </xdr:from>
    <xdr:to>
      <xdr:col>5</xdr:col>
      <xdr:colOff>57150</xdr:colOff>
      <xdr:row>33</xdr:row>
      <xdr:rowOff>9525</xdr:rowOff>
    </xdr:to>
    <xdr:sp>
      <xdr:nvSpPr>
        <xdr:cNvPr id="16" name="Rectangle 34"/>
        <xdr:cNvSpPr>
          <a:spLocks/>
        </xdr:cNvSpPr>
      </xdr:nvSpPr>
      <xdr:spPr>
        <a:xfrm>
          <a:off x="2447925" y="5305425"/>
          <a:ext cx="2190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</a:t>
          </a:r>
        </a:p>
      </xdr:txBody>
    </xdr:sp>
    <xdr:clientData/>
  </xdr:twoCellAnchor>
  <xdr:twoCellAnchor>
    <xdr:from>
      <xdr:col>8</xdr:col>
      <xdr:colOff>133350</xdr:colOff>
      <xdr:row>26</xdr:row>
      <xdr:rowOff>47625</xdr:rowOff>
    </xdr:from>
    <xdr:to>
      <xdr:col>8</xdr:col>
      <xdr:colOff>371475</xdr:colOff>
      <xdr:row>27</xdr:row>
      <xdr:rowOff>57150</xdr:rowOff>
    </xdr:to>
    <xdr:sp>
      <xdr:nvSpPr>
        <xdr:cNvPr id="17" name="Rectangle 35"/>
        <xdr:cNvSpPr>
          <a:spLocks/>
        </xdr:cNvSpPr>
      </xdr:nvSpPr>
      <xdr:spPr>
        <a:xfrm>
          <a:off x="4000500" y="4381500"/>
          <a:ext cx="2381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60</a:t>
          </a:r>
        </a:p>
      </xdr:txBody>
    </xdr:sp>
    <xdr:clientData/>
  </xdr:twoCellAnchor>
  <xdr:twoCellAnchor>
    <xdr:from>
      <xdr:col>7</xdr:col>
      <xdr:colOff>9525</xdr:colOff>
      <xdr:row>27</xdr:row>
      <xdr:rowOff>152400</xdr:rowOff>
    </xdr:from>
    <xdr:to>
      <xdr:col>7</xdr:col>
      <xdr:colOff>247650</xdr:colOff>
      <xdr:row>29</xdr:row>
      <xdr:rowOff>0</xdr:rowOff>
    </xdr:to>
    <xdr:sp>
      <xdr:nvSpPr>
        <xdr:cNvPr id="18" name="Rectangle 36"/>
        <xdr:cNvSpPr>
          <a:spLocks/>
        </xdr:cNvSpPr>
      </xdr:nvSpPr>
      <xdr:spPr>
        <a:xfrm>
          <a:off x="3457575" y="4648200"/>
          <a:ext cx="2381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50</a:t>
          </a:r>
        </a:p>
      </xdr:txBody>
    </xdr:sp>
    <xdr:clientData/>
  </xdr:twoCellAnchor>
  <xdr:twoCellAnchor>
    <xdr:from>
      <xdr:col>11</xdr:col>
      <xdr:colOff>57150</xdr:colOff>
      <xdr:row>23</xdr:row>
      <xdr:rowOff>76200</xdr:rowOff>
    </xdr:from>
    <xdr:to>
      <xdr:col>11</xdr:col>
      <xdr:colOff>295275</xdr:colOff>
      <xdr:row>24</xdr:row>
      <xdr:rowOff>85725</xdr:rowOff>
    </xdr:to>
    <xdr:sp>
      <xdr:nvSpPr>
        <xdr:cNvPr id="19" name="Rectangle 37"/>
        <xdr:cNvSpPr>
          <a:spLocks/>
        </xdr:cNvSpPr>
      </xdr:nvSpPr>
      <xdr:spPr>
        <a:xfrm>
          <a:off x="5181600" y="3924300"/>
          <a:ext cx="2381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80</a:t>
          </a:r>
        </a:p>
      </xdr:txBody>
    </xdr:sp>
    <xdr:clientData/>
  </xdr:twoCellAnchor>
  <xdr:twoCellAnchor>
    <xdr:from>
      <xdr:col>9</xdr:col>
      <xdr:colOff>295275</xdr:colOff>
      <xdr:row>24</xdr:row>
      <xdr:rowOff>142875</xdr:rowOff>
    </xdr:from>
    <xdr:to>
      <xdr:col>10</xdr:col>
      <xdr:colOff>95250</xdr:colOff>
      <xdr:row>25</xdr:row>
      <xdr:rowOff>152400</xdr:rowOff>
    </xdr:to>
    <xdr:sp>
      <xdr:nvSpPr>
        <xdr:cNvPr id="20" name="Rectangle 38"/>
        <xdr:cNvSpPr>
          <a:spLocks/>
        </xdr:cNvSpPr>
      </xdr:nvSpPr>
      <xdr:spPr>
        <a:xfrm>
          <a:off x="4581525" y="4152900"/>
          <a:ext cx="2190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70</a:t>
          </a:r>
        </a:p>
      </xdr:txBody>
    </xdr:sp>
    <xdr:clientData/>
  </xdr:twoCellAnchor>
  <xdr:twoCellAnchor>
    <xdr:from>
      <xdr:col>0</xdr:col>
      <xdr:colOff>95250</xdr:colOff>
      <xdr:row>2</xdr:row>
      <xdr:rowOff>95250</xdr:rowOff>
    </xdr:from>
    <xdr:to>
      <xdr:col>0</xdr:col>
      <xdr:colOff>552450</xdr:colOff>
      <xdr:row>3</xdr:row>
      <xdr:rowOff>114300</xdr:rowOff>
    </xdr:to>
    <xdr:sp>
      <xdr:nvSpPr>
        <xdr:cNvPr id="21" name="Rectangle 39"/>
        <xdr:cNvSpPr>
          <a:spLocks/>
        </xdr:cNvSpPr>
      </xdr:nvSpPr>
      <xdr:spPr>
        <a:xfrm>
          <a:off x="95250" y="542925"/>
          <a:ext cx="457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 [°C]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U356"/>
  <sheetViews>
    <sheetView tabSelected="1" workbookViewId="0" topLeftCell="A1">
      <selection activeCell="K2" sqref="K2"/>
    </sheetView>
  </sheetViews>
  <sheetFormatPr defaultColWidth="9.140625" defaultRowHeight="12.75"/>
  <cols>
    <col min="1" max="1" width="2.421875" style="13" customWidth="1"/>
    <col min="2" max="2" width="16.7109375" style="13" customWidth="1"/>
    <col min="3" max="3" width="3.7109375" style="13" customWidth="1"/>
    <col min="4" max="4" width="9.140625" style="13" customWidth="1"/>
    <col min="5" max="8" width="7.28125" style="13" customWidth="1"/>
    <col min="9" max="9" width="7.421875" style="13" customWidth="1"/>
    <col min="10" max="14" width="7.28125" style="13" customWidth="1"/>
    <col min="15" max="15" width="9.140625" style="13" customWidth="1"/>
    <col min="16" max="16" width="20.57421875" style="13" bestFit="1" customWidth="1"/>
    <col min="17" max="17" width="12.00390625" style="13" bestFit="1" customWidth="1"/>
    <col min="18" max="16384" width="9.140625" style="13" customWidth="1"/>
  </cols>
  <sheetData>
    <row r="1" spans="1:21" ht="20.25">
      <c r="A1" s="7"/>
      <c r="B1" s="8"/>
      <c r="C1" s="9" t="s">
        <v>78</v>
      </c>
      <c r="D1" s="7"/>
      <c r="E1" s="7"/>
      <c r="F1" s="7"/>
      <c r="G1" s="7"/>
      <c r="H1" s="7"/>
      <c r="I1" s="7"/>
      <c r="J1" s="10" t="s">
        <v>75</v>
      </c>
      <c r="K1" s="11">
        <v>94.5</v>
      </c>
      <c r="L1" s="7" t="s">
        <v>11</v>
      </c>
      <c r="M1" s="7"/>
      <c r="N1" s="7"/>
      <c r="O1" s="7"/>
      <c r="P1" s="106"/>
      <c r="Q1" s="106"/>
      <c r="R1" s="106"/>
      <c r="S1" s="12"/>
      <c r="T1" s="12"/>
      <c r="U1" s="12"/>
    </row>
    <row r="2" spans="1:21" ht="12.75" customHeight="1">
      <c r="A2" s="7"/>
      <c r="B2" s="14"/>
      <c r="C2" s="141"/>
      <c r="D2" s="142"/>
      <c r="E2" s="142"/>
      <c r="F2" s="143"/>
      <c r="G2" s="7"/>
      <c r="H2" s="7"/>
      <c r="I2" s="7"/>
      <c r="J2" s="15" t="s">
        <v>76</v>
      </c>
      <c r="K2" s="11">
        <v>100</v>
      </c>
      <c r="L2" s="7" t="s">
        <v>5</v>
      </c>
      <c r="M2" s="16">
        <f>K2/100</f>
        <v>1</v>
      </c>
      <c r="N2" s="7"/>
      <c r="O2" s="7"/>
      <c r="P2" s="106"/>
      <c r="Q2" s="106"/>
      <c r="R2" s="106"/>
      <c r="S2" s="12"/>
      <c r="T2" s="12"/>
      <c r="U2" s="12"/>
    </row>
    <row r="3" spans="1:21" ht="12.75" customHeight="1">
      <c r="A3" s="7"/>
      <c r="B3" s="7"/>
      <c r="C3" s="7"/>
      <c r="D3" s="7"/>
      <c r="E3" s="7"/>
      <c r="F3" s="7"/>
      <c r="G3" s="7"/>
      <c r="H3" s="7"/>
      <c r="I3" s="7"/>
      <c r="J3" s="15" t="s">
        <v>77</v>
      </c>
      <c r="K3" s="11">
        <v>3</v>
      </c>
      <c r="L3" s="17" t="s">
        <v>4</v>
      </c>
      <c r="M3" s="7"/>
      <c r="N3" s="7"/>
      <c r="O3" s="7"/>
      <c r="P3" s="106" t="s">
        <v>120</v>
      </c>
      <c r="Q3" s="110">
        <f>IF(Tchladice&lt;-50,#N/A,IF(Tchladice&lt;0,EXP((1738.4+28.74*Tchladice)/(271+Tchladice)),IF(Tchladice&lt;=100,EXP((1500.3+23.5*Tchladice)/(234+Tchladice)),#N/A)))</f>
        <v>755.8538982845879</v>
      </c>
      <c r="R3" s="106"/>
      <c r="S3" s="12"/>
      <c r="T3" s="12"/>
      <c r="U3" s="12"/>
    </row>
    <row r="4" spans="1:21" ht="12.75" customHeight="1">
      <c r="A4" s="7"/>
      <c r="B4" s="18" t="s">
        <v>69</v>
      </c>
      <c r="C4" s="7"/>
      <c r="D4" s="7"/>
      <c r="E4" s="19">
        <v>1</v>
      </c>
      <c r="F4" s="19">
        <v>2</v>
      </c>
      <c r="G4" s="19">
        <v>3</v>
      </c>
      <c r="H4" s="19">
        <v>4</v>
      </c>
      <c r="I4" s="19">
        <v>5</v>
      </c>
      <c r="J4" s="19">
        <v>6</v>
      </c>
      <c r="K4" s="19">
        <v>7</v>
      </c>
      <c r="L4" s="19">
        <v>8</v>
      </c>
      <c r="M4" s="19">
        <v>9</v>
      </c>
      <c r="N4" s="19">
        <v>10</v>
      </c>
      <c r="O4" s="7"/>
      <c r="P4" s="106" t="s">
        <v>121</v>
      </c>
      <c r="Q4" s="106">
        <f>0.6222*Q3/(Tlak_vzduchu-Q3/1000)</f>
        <v>5.0167644068397435</v>
      </c>
      <c r="R4" s="106"/>
      <c r="S4" s="12"/>
      <c r="T4" s="12"/>
      <c r="U4" s="12"/>
    </row>
    <row r="5" spans="1:21" ht="12.75" customHeight="1">
      <c r="A5" s="7"/>
      <c r="B5" s="17" t="s">
        <v>61</v>
      </c>
      <c r="C5" s="7"/>
      <c r="D5" s="7"/>
      <c r="E5" s="1"/>
      <c r="F5" s="1"/>
      <c r="G5" s="1"/>
      <c r="H5" s="1"/>
      <c r="I5" s="1"/>
      <c r="J5" s="1"/>
      <c r="K5" s="1"/>
      <c r="L5" s="1"/>
      <c r="M5" s="1"/>
      <c r="N5" s="1"/>
      <c r="O5" s="7"/>
      <c r="P5" s="106"/>
      <c r="Q5" s="106"/>
      <c r="R5" s="106"/>
      <c r="S5" s="12"/>
      <c r="T5" s="12"/>
      <c r="U5" s="12"/>
    </row>
    <row r="6" spans="1:21" ht="12.75">
      <c r="A6" s="7"/>
      <c r="B6" s="7" t="s">
        <v>62</v>
      </c>
      <c r="C6" s="20" t="s">
        <v>0</v>
      </c>
      <c r="D6" s="21" t="s">
        <v>4</v>
      </c>
      <c r="E6" s="2"/>
      <c r="F6" s="2"/>
      <c r="G6" s="2"/>
      <c r="H6" s="2"/>
      <c r="I6" s="2"/>
      <c r="J6" s="2"/>
      <c r="K6" s="2"/>
      <c r="L6" s="2"/>
      <c r="M6" s="2"/>
      <c r="N6" s="2"/>
      <c r="O6" s="7"/>
      <c r="P6" s="106" t="s">
        <v>133</v>
      </c>
      <c r="Q6" s="106">
        <f>1.01*Tchladice+(2501+1.86*Tchladice)*Q4/1000</f>
        <v>15.604921326896363</v>
      </c>
      <c r="R6" s="106"/>
      <c r="S6" s="12"/>
      <c r="T6" s="12"/>
      <c r="U6" s="12"/>
    </row>
    <row r="7" spans="1:21" ht="12.75">
      <c r="A7" s="7"/>
      <c r="B7" s="7" t="s">
        <v>63</v>
      </c>
      <c r="C7" s="22" t="s">
        <v>1</v>
      </c>
      <c r="D7" s="21" t="s">
        <v>5</v>
      </c>
      <c r="E7" s="2"/>
      <c r="F7" s="2"/>
      <c r="G7" s="2"/>
      <c r="H7" s="2"/>
      <c r="I7" s="2"/>
      <c r="J7" s="2"/>
      <c r="K7" s="2"/>
      <c r="L7" s="2"/>
      <c r="M7" s="2"/>
      <c r="N7" s="2"/>
      <c r="O7" s="7"/>
      <c r="P7" s="106"/>
      <c r="Q7" s="106"/>
      <c r="R7" s="106"/>
      <c r="S7" s="12"/>
      <c r="T7" s="12"/>
      <c r="U7" s="12"/>
    </row>
    <row r="8" spans="1:21" ht="12.75">
      <c r="A8" s="7"/>
      <c r="B8" s="7" t="s">
        <v>67</v>
      </c>
      <c r="C8" s="20" t="s">
        <v>2</v>
      </c>
      <c r="D8" s="21" t="s">
        <v>6</v>
      </c>
      <c r="E8" s="2"/>
      <c r="F8" s="2"/>
      <c r="G8" s="2"/>
      <c r="H8" s="2"/>
      <c r="I8" s="2"/>
      <c r="J8" s="2"/>
      <c r="K8" s="2"/>
      <c r="L8" s="2"/>
      <c r="M8" s="2"/>
      <c r="N8" s="2"/>
      <c r="O8" s="7"/>
      <c r="P8" s="106"/>
      <c r="Q8" s="106"/>
      <c r="R8" s="106"/>
      <c r="S8" s="12"/>
      <c r="T8" s="12"/>
      <c r="U8" s="12"/>
    </row>
    <row r="9" spans="1:21" ht="13.5" thickBot="1">
      <c r="A9" s="7"/>
      <c r="B9" s="7" t="s">
        <v>65</v>
      </c>
      <c r="C9" s="20" t="s">
        <v>3</v>
      </c>
      <c r="D9" s="21" t="s">
        <v>7</v>
      </c>
      <c r="E9" s="139"/>
      <c r="F9" s="137"/>
      <c r="G9" s="5"/>
      <c r="H9" s="3"/>
      <c r="I9" s="3"/>
      <c r="J9" s="3"/>
      <c r="K9" s="3"/>
      <c r="L9" s="137"/>
      <c r="M9" s="138"/>
      <c r="N9" s="137"/>
      <c r="O9" s="7"/>
      <c r="P9" s="106"/>
      <c r="Q9" s="106"/>
      <c r="R9" s="106"/>
      <c r="S9" s="12"/>
      <c r="T9" s="12"/>
      <c r="U9" s="12"/>
    </row>
    <row r="10" spans="1:21" ht="13.5" thickTop="1">
      <c r="A10" s="7"/>
      <c r="B10" s="7" t="s">
        <v>68</v>
      </c>
      <c r="C10" s="24" t="s">
        <v>60</v>
      </c>
      <c r="D10" s="21"/>
      <c r="E10" s="4"/>
      <c r="F10" s="4"/>
      <c r="G10" s="4"/>
      <c r="H10" s="4"/>
      <c r="I10" s="4"/>
      <c r="J10" s="4"/>
      <c r="K10" s="4"/>
      <c r="L10" s="4"/>
      <c r="M10" s="4"/>
      <c r="N10" s="4"/>
      <c r="O10" s="7"/>
      <c r="P10" s="106"/>
      <c r="Q10" s="106"/>
      <c r="R10" s="106"/>
      <c r="S10" s="12"/>
      <c r="T10" s="12"/>
      <c r="U10" s="12"/>
    </row>
    <row r="11" spans="1:21" ht="12.75">
      <c r="A11" s="7"/>
      <c r="B11" s="7" t="s">
        <v>64</v>
      </c>
      <c r="C11" s="18" t="s">
        <v>21</v>
      </c>
      <c r="D11" s="21" t="s">
        <v>22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  <c r="P11" s="106"/>
      <c r="Q11" s="106"/>
      <c r="R11" s="106"/>
      <c r="S11" s="12"/>
      <c r="T11" s="12"/>
      <c r="U11" s="12"/>
    </row>
    <row r="12" spans="1:21" ht="12.75">
      <c r="A12" s="7"/>
      <c r="B12" s="7"/>
      <c r="C12" s="7"/>
      <c r="D12" s="21" t="s">
        <v>23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7"/>
      <c r="P12" s="106"/>
      <c r="Q12" s="106"/>
      <c r="R12" s="106"/>
      <c r="S12" s="12"/>
      <c r="T12" s="12"/>
      <c r="U12" s="12"/>
    </row>
    <row r="13" spans="1:21" ht="12.75">
      <c r="A13" s="7"/>
      <c r="B13" s="7" t="s">
        <v>66</v>
      </c>
      <c r="C13" s="18" t="s">
        <v>27</v>
      </c>
      <c r="D13" s="21" t="s">
        <v>28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7"/>
      <c r="P13" s="106"/>
      <c r="Q13" s="106"/>
      <c r="R13" s="106"/>
      <c r="S13" s="12"/>
      <c r="T13" s="12"/>
      <c r="U13" s="12"/>
    </row>
    <row r="14" spans="1:21" ht="12.75">
      <c r="A14" s="7"/>
      <c r="B14" s="18"/>
      <c r="C14" s="7"/>
      <c r="D14" s="7"/>
      <c r="E14" s="25" t="str">
        <f aca="true" t="shared" si="0" ref="E14:N14">IF(E96,"ERROR",IF(E97,"?",IF(E98,"-","")))</f>
        <v>-</v>
      </c>
      <c r="F14" s="25" t="str">
        <f t="shared" si="0"/>
        <v>-</v>
      </c>
      <c r="G14" s="25" t="str">
        <f t="shared" si="0"/>
        <v>-</v>
      </c>
      <c r="H14" s="25" t="str">
        <f t="shared" si="0"/>
        <v>-</v>
      </c>
      <c r="I14" s="25" t="str">
        <f t="shared" si="0"/>
        <v>-</v>
      </c>
      <c r="J14" s="25" t="str">
        <f t="shared" si="0"/>
        <v>-</v>
      </c>
      <c r="K14" s="25" t="str">
        <f t="shared" si="0"/>
        <v>-</v>
      </c>
      <c r="L14" s="25" t="str">
        <f t="shared" si="0"/>
        <v>-</v>
      </c>
      <c r="M14" s="25" t="str">
        <f t="shared" si="0"/>
        <v>-</v>
      </c>
      <c r="N14" s="25" t="str">
        <f t="shared" si="0"/>
        <v>-</v>
      </c>
      <c r="O14" s="7"/>
      <c r="P14" s="106"/>
      <c r="Q14" s="106"/>
      <c r="R14" s="106"/>
      <c r="S14" s="12"/>
      <c r="T14" s="12"/>
      <c r="U14" s="12"/>
    </row>
    <row r="15" spans="1:21" ht="13.5" thickBot="1">
      <c r="A15" s="7"/>
      <c r="B15" s="18" t="s">
        <v>70</v>
      </c>
      <c r="C15" s="7"/>
      <c r="D15" s="7"/>
      <c r="E15" s="19">
        <v>1</v>
      </c>
      <c r="F15" s="19">
        <v>2</v>
      </c>
      <c r="G15" s="19">
        <v>3</v>
      </c>
      <c r="H15" s="19">
        <v>4</v>
      </c>
      <c r="I15" s="19">
        <v>5</v>
      </c>
      <c r="J15" s="19">
        <v>6</v>
      </c>
      <c r="K15" s="19">
        <v>7</v>
      </c>
      <c r="L15" s="19">
        <v>8</v>
      </c>
      <c r="M15" s="19">
        <v>9</v>
      </c>
      <c r="N15" s="19">
        <v>10</v>
      </c>
      <c r="O15" s="7"/>
      <c r="P15" s="106"/>
      <c r="Q15" s="106"/>
      <c r="R15" s="106"/>
      <c r="S15" s="12"/>
      <c r="T15" s="12"/>
      <c r="U15" s="12"/>
    </row>
    <row r="16" spans="1:21" ht="12.75">
      <c r="A16" s="7"/>
      <c r="B16" s="7" t="s">
        <v>62</v>
      </c>
      <c r="C16" s="20" t="s">
        <v>0</v>
      </c>
      <c r="D16" s="21" t="s">
        <v>4</v>
      </c>
      <c r="E16" s="26">
        <f aca="true" t="shared" si="1" ref="E16:N16">IF(E14="",E151,"")</f>
      </c>
      <c r="F16" s="26">
        <f t="shared" si="1"/>
      </c>
      <c r="G16" s="26">
        <f t="shared" si="1"/>
      </c>
      <c r="H16" s="26">
        <f t="shared" si="1"/>
      </c>
      <c r="I16" s="26">
        <f t="shared" si="1"/>
      </c>
      <c r="J16" s="26">
        <f t="shared" si="1"/>
      </c>
      <c r="K16" s="26">
        <f t="shared" si="1"/>
      </c>
      <c r="L16" s="26">
        <f t="shared" si="1"/>
      </c>
      <c r="M16" s="26">
        <f t="shared" si="1"/>
      </c>
      <c r="N16" s="27">
        <f t="shared" si="1"/>
      </c>
      <c r="O16" s="7"/>
      <c r="P16" s="106"/>
      <c r="Q16" s="106"/>
      <c r="R16" s="106"/>
      <c r="S16" s="12"/>
      <c r="T16" s="12"/>
      <c r="U16" s="12"/>
    </row>
    <row r="17" spans="1:21" ht="12.75">
      <c r="A17" s="7"/>
      <c r="B17" s="7" t="s">
        <v>96</v>
      </c>
      <c r="C17" s="22" t="s">
        <v>1</v>
      </c>
      <c r="D17" s="21" t="s">
        <v>5</v>
      </c>
      <c r="E17" s="28">
        <f aca="true" t="shared" si="2" ref="E17:N17">IF(E14="",IF(E18=0,0,Tlak_vzduchu/E154*1000/(0.6222/E18*1000+1)),"")</f>
      </c>
      <c r="F17" s="28">
        <f t="shared" si="2"/>
      </c>
      <c r="G17" s="28">
        <f t="shared" si="2"/>
      </c>
      <c r="H17" s="28">
        <f t="shared" si="2"/>
      </c>
      <c r="I17" s="28">
        <f t="shared" si="2"/>
      </c>
      <c r="J17" s="28">
        <f t="shared" si="2"/>
      </c>
      <c r="K17" s="28">
        <f t="shared" si="2"/>
      </c>
      <c r="L17" s="28">
        <f t="shared" si="2"/>
      </c>
      <c r="M17" s="28">
        <f t="shared" si="2"/>
      </c>
      <c r="N17" s="28">
        <f t="shared" si="2"/>
      </c>
      <c r="O17" s="7"/>
      <c r="P17" s="106"/>
      <c r="Q17" s="106"/>
      <c r="R17" s="106"/>
      <c r="S17" s="12"/>
      <c r="T17" s="12"/>
      <c r="U17" s="12"/>
    </row>
    <row r="18" spans="1:21" ht="12.75">
      <c r="A18" s="7"/>
      <c r="B18" s="7" t="s">
        <v>97</v>
      </c>
      <c r="C18" s="20" t="s">
        <v>2</v>
      </c>
      <c r="D18" s="21" t="s">
        <v>6</v>
      </c>
      <c r="E18" s="23">
        <f aca="true" t="shared" si="3" ref="E18:N18">IF(E14="",E152,"")</f>
      </c>
      <c r="F18" s="23">
        <f t="shared" si="3"/>
      </c>
      <c r="G18" s="23">
        <f t="shared" si="3"/>
      </c>
      <c r="H18" s="23">
        <f t="shared" si="3"/>
      </c>
      <c r="I18" s="23">
        <f t="shared" si="3"/>
      </c>
      <c r="J18" s="23">
        <f t="shared" si="3"/>
      </c>
      <c r="K18" s="23">
        <f t="shared" si="3"/>
      </c>
      <c r="L18" s="23">
        <f t="shared" si="3"/>
      </c>
      <c r="M18" s="23">
        <f t="shared" si="3"/>
      </c>
      <c r="N18" s="23">
        <f t="shared" si="3"/>
      </c>
      <c r="O18" s="7"/>
      <c r="P18" s="106"/>
      <c r="Q18" s="106"/>
      <c r="R18" s="106"/>
      <c r="S18" s="12"/>
      <c r="T18" s="12"/>
      <c r="U18" s="12"/>
    </row>
    <row r="19" spans="1:18" ht="12.75">
      <c r="A19" s="7"/>
      <c r="B19" s="7" t="s">
        <v>65</v>
      </c>
      <c r="C19" s="20" t="s">
        <v>3</v>
      </c>
      <c r="D19" s="21" t="s">
        <v>7</v>
      </c>
      <c r="E19" s="23">
        <f aca="true" t="shared" si="4" ref="E19:N19">IF(E14="",E155,"")</f>
      </c>
      <c r="F19" s="23">
        <f t="shared" si="4"/>
      </c>
      <c r="G19" s="23">
        <f t="shared" si="4"/>
      </c>
      <c r="H19" s="23">
        <f t="shared" si="4"/>
      </c>
      <c r="I19" s="23">
        <f t="shared" si="4"/>
      </c>
      <c r="J19" s="23">
        <f t="shared" si="4"/>
      </c>
      <c r="K19" s="23">
        <f t="shared" si="4"/>
      </c>
      <c r="L19" s="23">
        <f t="shared" si="4"/>
      </c>
      <c r="M19" s="23">
        <f t="shared" si="4"/>
      </c>
      <c r="N19" s="23">
        <f t="shared" si="4"/>
      </c>
      <c r="O19" s="7"/>
      <c r="P19" s="106"/>
      <c r="Q19" s="106"/>
      <c r="R19" s="106"/>
    </row>
    <row r="20" spans="1:18" ht="12.75">
      <c r="A20" s="7"/>
      <c r="B20" s="7" t="s">
        <v>72</v>
      </c>
      <c r="C20" s="22" t="s">
        <v>24</v>
      </c>
      <c r="D20" s="21" t="s">
        <v>26</v>
      </c>
      <c r="E20" s="29">
        <f>IF(E14="",Tlak_vzduchu*1000*(E18/1000+1)/461.39/(273.15+E16)/(E18/1000+0.6222),"")</f>
      </c>
      <c r="F20" s="29">
        <f aca="true" t="shared" si="5" ref="F20:N20">IF(F14="",Tlak_vzduchu*1000*(F18/1000+1)/461.39/(273.15+F16)/(F18/1000+0.6222),"")</f>
      </c>
      <c r="G20" s="29">
        <f t="shared" si="5"/>
      </c>
      <c r="H20" s="29">
        <f t="shared" si="5"/>
      </c>
      <c r="I20" s="29">
        <f t="shared" si="5"/>
      </c>
      <c r="J20" s="29">
        <f t="shared" si="5"/>
      </c>
      <c r="K20" s="29">
        <f t="shared" si="5"/>
      </c>
      <c r="L20" s="29">
        <f t="shared" si="5"/>
      </c>
      <c r="M20" s="29">
        <f t="shared" si="5"/>
      </c>
      <c r="N20" s="29">
        <f t="shared" si="5"/>
      </c>
      <c r="O20" s="7"/>
      <c r="P20" s="106"/>
      <c r="Q20" s="106"/>
      <c r="R20" s="106"/>
    </row>
    <row r="21" spans="1:18" ht="13.5" thickBot="1">
      <c r="A21" s="7"/>
      <c r="B21" s="7" t="s">
        <v>71</v>
      </c>
      <c r="C21" s="20" t="s">
        <v>25</v>
      </c>
      <c r="D21" s="21" t="s">
        <v>4</v>
      </c>
      <c r="E21" s="23">
        <f aca="true" t="shared" si="6" ref="E21:N21">IF(E14="",E156,"")</f>
      </c>
      <c r="F21" s="23">
        <f t="shared" si="6"/>
      </c>
      <c r="G21" s="23">
        <f t="shared" si="6"/>
      </c>
      <c r="H21" s="23">
        <f t="shared" si="6"/>
      </c>
      <c r="I21" s="23">
        <f t="shared" si="6"/>
      </c>
      <c r="J21" s="23">
        <f t="shared" si="6"/>
      </c>
      <c r="K21" s="23">
        <f t="shared" si="6"/>
      </c>
      <c r="L21" s="23">
        <f t="shared" si="6"/>
      </c>
      <c r="M21" s="23">
        <f t="shared" si="6"/>
      </c>
      <c r="N21" s="23">
        <f t="shared" si="6"/>
      </c>
      <c r="O21" s="7"/>
      <c r="P21" s="106"/>
      <c r="Q21" s="106"/>
      <c r="R21" s="106"/>
    </row>
    <row r="22" spans="1:18" ht="13.5" thickTop="1">
      <c r="A22" s="7"/>
      <c r="B22" s="7" t="s">
        <v>64</v>
      </c>
      <c r="C22" s="18" t="s">
        <v>57</v>
      </c>
      <c r="D22" s="21" t="s">
        <v>22</v>
      </c>
      <c r="E22" s="30">
        <f>IF(E14="",E35*3600/E20*(1+E18/1000),"")</f>
      </c>
      <c r="F22" s="30">
        <f aca="true" t="shared" si="7" ref="F22:N22">IF(F14="",F35*3600/F20*(1+F18/1000),"")</f>
      </c>
      <c r="G22" s="30">
        <f t="shared" si="7"/>
      </c>
      <c r="H22" s="30">
        <f t="shared" si="7"/>
      </c>
      <c r="I22" s="30">
        <f t="shared" si="7"/>
      </c>
      <c r="J22" s="30">
        <f t="shared" si="7"/>
      </c>
      <c r="K22" s="30">
        <f t="shared" si="7"/>
      </c>
      <c r="L22" s="30">
        <f t="shared" si="7"/>
      </c>
      <c r="M22" s="30">
        <f t="shared" si="7"/>
      </c>
      <c r="N22" s="30">
        <f t="shared" si="7"/>
      </c>
      <c r="O22" s="7"/>
      <c r="P22" s="106"/>
      <c r="Q22" s="106"/>
      <c r="R22" s="106"/>
    </row>
    <row r="23" spans="1:18" ht="12.75">
      <c r="A23" s="7"/>
      <c r="B23" s="7" t="s">
        <v>73</v>
      </c>
      <c r="C23" s="18" t="s">
        <v>56</v>
      </c>
      <c r="D23" s="21" t="s">
        <v>22</v>
      </c>
      <c r="E23" s="31">
        <f>IF(E14="",E35*3600/1.2,"")</f>
      </c>
      <c r="F23" s="31">
        <f aca="true" t="shared" si="8" ref="F23:N23">IF(F14="",F35*3600/1.2,"")</f>
      </c>
      <c r="G23" s="31">
        <f t="shared" si="8"/>
      </c>
      <c r="H23" s="31">
        <f t="shared" si="8"/>
      </c>
      <c r="I23" s="31">
        <f t="shared" si="8"/>
      </c>
      <c r="J23" s="31">
        <f t="shared" si="8"/>
      </c>
      <c r="K23" s="31">
        <f t="shared" si="8"/>
      </c>
      <c r="L23" s="31">
        <f t="shared" si="8"/>
      </c>
      <c r="M23" s="31">
        <f t="shared" si="8"/>
      </c>
      <c r="N23" s="32">
        <f t="shared" si="8"/>
      </c>
      <c r="O23" s="7"/>
      <c r="P23" s="106"/>
      <c r="Q23" s="106"/>
      <c r="R23" s="106"/>
    </row>
    <row r="24" spans="1:18" ht="12.75">
      <c r="A24" s="7"/>
      <c r="B24" s="7" t="s">
        <v>66</v>
      </c>
      <c r="C24" s="18" t="s">
        <v>27</v>
      </c>
      <c r="D24" s="21" t="s">
        <v>28</v>
      </c>
      <c r="E24" s="33">
        <f>IF(AND(E14="",E28&lt;&gt;5,E28&lt;&gt;0),E35*(E19-D19),"")</f>
      </c>
      <c r="F24" s="33">
        <f>IF(AND(F14="",F28&lt;&gt;5,F28&lt;&gt;0),F35*(F19-E19),"")</f>
      </c>
      <c r="G24" s="33">
        <f aca="true" t="shared" si="9" ref="G24:N24">IF(AND(G14="",G28&lt;&gt;5,G28&lt;&gt;0),G35*(G19-F19),"")</f>
      </c>
      <c r="H24" s="33">
        <f t="shared" si="9"/>
      </c>
      <c r="I24" s="33">
        <f t="shared" si="9"/>
      </c>
      <c r="J24" s="33">
        <f t="shared" si="9"/>
      </c>
      <c r="K24" s="33">
        <f t="shared" si="9"/>
      </c>
      <c r="L24" s="33">
        <f t="shared" si="9"/>
      </c>
      <c r="M24" s="33">
        <f t="shared" si="9"/>
      </c>
      <c r="N24" s="28">
        <f t="shared" si="9"/>
      </c>
      <c r="O24" s="7"/>
      <c r="P24" s="106"/>
      <c r="Q24" s="106"/>
      <c r="R24" s="106"/>
    </row>
    <row r="25" spans="1:18" ht="12.75">
      <c r="A25" s="7"/>
      <c r="B25" s="7" t="s">
        <v>74</v>
      </c>
      <c r="C25" s="18" t="s">
        <v>29</v>
      </c>
      <c r="D25" s="21" t="s">
        <v>30</v>
      </c>
      <c r="E25" s="33">
        <f>IF(AND(E14="",E28&lt;&gt;0),IF(E28&lt;&gt;5,E35*(E18-D18)*3.6,(E35*E18-D35*D18-C35*C18)*3.6),"")</f>
      </c>
      <c r="F25" s="33">
        <f aca="true" t="shared" si="10" ref="F25:N25">IF(AND(F14="",F28&lt;&gt;0),IF(F28&lt;&gt;5,F35*(F18-E18)*3.6,(F35*F18-E35*E18-D35*D18)*3.6),"")</f>
      </c>
      <c r="G25" s="33">
        <f t="shared" si="10"/>
      </c>
      <c r="H25" s="33">
        <f t="shared" si="10"/>
      </c>
      <c r="I25" s="33">
        <f t="shared" si="10"/>
      </c>
      <c r="J25" s="33">
        <f t="shared" si="10"/>
      </c>
      <c r="K25" s="33">
        <f t="shared" si="10"/>
      </c>
      <c r="L25" s="33">
        <f t="shared" si="10"/>
      </c>
      <c r="M25" s="33">
        <f t="shared" si="10"/>
      </c>
      <c r="N25" s="23">
        <f t="shared" si="10"/>
      </c>
      <c r="O25" s="7"/>
      <c r="P25" s="106"/>
      <c r="Q25" s="106"/>
      <c r="R25" s="106"/>
    </row>
    <row r="26" spans="1:18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106"/>
      <c r="Q26" s="106"/>
      <c r="R26" s="106"/>
    </row>
    <row r="27" spans="1:18" ht="12.75">
      <c r="A27" s="112"/>
      <c r="B27" s="116" t="s">
        <v>91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06"/>
      <c r="Q27" s="106"/>
      <c r="R27" s="106"/>
    </row>
    <row r="28" spans="1:18" ht="12.75">
      <c r="A28" s="112"/>
      <c r="B28" s="111" t="s">
        <v>105</v>
      </c>
      <c r="C28" s="112" t="s">
        <v>44</v>
      </c>
      <c r="D28" s="112"/>
      <c r="E28" s="112">
        <f>IF(OR(E10="-",E10=""),0,IF(OR(E10="o",E10="O"),1,IF(OR(E10="c",E10="C"),2,IF(OR(E10="a",E10="A"),3,IF(OR(E10="p",E10="P"),4,IF(OR(E10="s",E10="S"),5,IF(OR(E10="x",E10="X"),6,10)))))))</f>
        <v>0</v>
      </c>
      <c r="F28" s="112">
        <f aca="true" t="shared" si="11" ref="F28:N28">IF(OR(F10="-",F10=""),0,IF(OR(F10="o",F10="O"),1,IF(OR(F10="c",F10="C"),2,IF(OR(F10="a",F10="A"),3,IF(OR(F10="p",F10="P"),4,IF(OR(F10="s",F10="S"),5,IF(OR(F10="x",F10="X"),6,10)))))))</f>
        <v>0</v>
      </c>
      <c r="G28" s="112">
        <f t="shared" si="11"/>
        <v>0</v>
      </c>
      <c r="H28" s="112">
        <f t="shared" si="11"/>
        <v>0</v>
      </c>
      <c r="I28" s="112">
        <f t="shared" si="11"/>
        <v>0</v>
      </c>
      <c r="J28" s="112">
        <f t="shared" si="11"/>
        <v>0</v>
      </c>
      <c r="K28" s="112">
        <f t="shared" si="11"/>
        <v>0</v>
      </c>
      <c r="L28" s="112">
        <f t="shared" si="11"/>
        <v>0</v>
      </c>
      <c r="M28" s="112">
        <f t="shared" si="11"/>
        <v>0</v>
      </c>
      <c r="N28" s="112">
        <f t="shared" si="11"/>
        <v>0</v>
      </c>
      <c r="O28" s="112"/>
      <c r="P28" s="106"/>
      <c r="Q28" s="106"/>
      <c r="R28" s="106"/>
    </row>
    <row r="29" spans="1:18" ht="12.75">
      <c r="A29" s="112"/>
      <c r="B29" s="112"/>
      <c r="C29" s="114" t="s">
        <v>0</v>
      </c>
      <c r="D29" s="112"/>
      <c r="E29" s="112">
        <f>IF(E6="",0,1)</f>
        <v>0</v>
      </c>
      <c r="F29" s="112">
        <f>IF(F6="",0,1)</f>
        <v>0</v>
      </c>
      <c r="G29" s="112">
        <f aca="true" t="shared" si="12" ref="G29:N29">IF(G6="",0,1)</f>
        <v>0</v>
      </c>
      <c r="H29" s="112">
        <f t="shared" si="12"/>
        <v>0</v>
      </c>
      <c r="I29" s="112">
        <f t="shared" si="12"/>
        <v>0</v>
      </c>
      <c r="J29" s="112">
        <f t="shared" si="12"/>
        <v>0</v>
      </c>
      <c r="K29" s="112">
        <f t="shared" si="12"/>
        <v>0</v>
      </c>
      <c r="L29" s="112">
        <f t="shared" si="12"/>
        <v>0</v>
      </c>
      <c r="M29" s="112">
        <f t="shared" si="12"/>
        <v>0</v>
      </c>
      <c r="N29" s="112">
        <f t="shared" si="12"/>
        <v>0</v>
      </c>
      <c r="O29" s="112"/>
      <c r="P29" s="106"/>
      <c r="Q29" s="106"/>
      <c r="R29" s="106"/>
    </row>
    <row r="30" spans="1:18" ht="12.75">
      <c r="A30" s="112"/>
      <c r="B30" s="112"/>
      <c r="C30" s="115" t="s">
        <v>1</v>
      </c>
      <c r="D30" s="112"/>
      <c r="E30" s="112">
        <f aca="true" t="shared" si="13" ref="E30:F32">IF(E7="",0,1)</f>
        <v>0</v>
      </c>
      <c r="F30" s="112">
        <f t="shared" si="13"/>
        <v>0</v>
      </c>
      <c r="G30" s="112">
        <f aca="true" t="shared" si="14" ref="G30:N30">IF(G7="",0,1)</f>
        <v>0</v>
      </c>
      <c r="H30" s="112">
        <f t="shared" si="14"/>
        <v>0</v>
      </c>
      <c r="I30" s="112">
        <f t="shared" si="14"/>
        <v>0</v>
      </c>
      <c r="J30" s="112">
        <f t="shared" si="14"/>
        <v>0</v>
      </c>
      <c r="K30" s="112">
        <f t="shared" si="14"/>
        <v>0</v>
      </c>
      <c r="L30" s="112">
        <f t="shared" si="14"/>
        <v>0</v>
      </c>
      <c r="M30" s="112">
        <f t="shared" si="14"/>
        <v>0</v>
      </c>
      <c r="N30" s="112">
        <f t="shared" si="14"/>
        <v>0</v>
      </c>
      <c r="O30" s="112"/>
      <c r="P30" s="106"/>
      <c r="Q30" s="106"/>
      <c r="R30" s="106"/>
    </row>
    <row r="31" spans="1:18" ht="12.75">
      <c r="A31" s="112"/>
      <c r="B31" s="112"/>
      <c r="C31" s="114" t="s">
        <v>2</v>
      </c>
      <c r="D31" s="112"/>
      <c r="E31" s="112">
        <f t="shared" si="13"/>
        <v>0</v>
      </c>
      <c r="F31" s="112">
        <f t="shared" si="13"/>
        <v>0</v>
      </c>
      <c r="G31" s="112">
        <f aca="true" t="shared" si="15" ref="G31:N31">IF(G8="",0,1)</f>
        <v>0</v>
      </c>
      <c r="H31" s="112">
        <f t="shared" si="15"/>
        <v>0</v>
      </c>
      <c r="I31" s="112">
        <f t="shared" si="15"/>
        <v>0</v>
      </c>
      <c r="J31" s="112">
        <f t="shared" si="15"/>
        <v>0</v>
      </c>
      <c r="K31" s="112">
        <f t="shared" si="15"/>
        <v>0</v>
      </c>
      <c r="L31" s="112">
        <f t="shared" si="15"/>
        <v>0</v>
      </c>
      <c r="M31" s="112">
        <f t="shared" si="15"/>
        <v>0</v>
      </c>
      <c r="N31" s="112">
        <f t="shared" si="15"/>
        <v>0</v>
      </c>
      <c r="O31" s="112"/>
      <c r="P31" s="106"/>
      <c r="Q31" s="106"/>
      <c r="R31" s="106"/>
    </row>
    <row r="32" spans="1:18" ht="12.75">
      <c r="A32" s="112"/>
      <c r="B32" s="112"/>
      <c r="C32" s="114" t="s">
        <v>3</v>
      </c>
      <c r="D32" s="112"/>
      <c r="E32" s="112">
        <f t="shared" si="13"/>
        <v>0</v>
      </c>
      <c r="F32" s="112">
        <f t="shared" si="13"/>
        <v>0</v>
      </c>
      <c r="G32" s="112">
        <f aca="true" t="shared" si="16" ref="G32:N32">IF(G9="",0,1)</f>
        <v>0</v>
      </c>
      <c r="H32" s="112">
        <f t="shared" si="16"/>
        <v>0</v>
      </c>
      <c r="I32" s="112">
        <f t="shared" si="16"/>
        <v>0</v>
      </c>
      <c r="J32" s="112">
        <f t="shared" si="16"/>
        <v>0</v>
      </c>
      <c r="K32" s="112">
        <f t="shared" si="16"/>
        <v>0</v>
      </c>
      <c r="L32" s="112">
        <f t="shared" si="16"/>
        <v>0</v>
      </c>
      <c r="M32" s="112">
        <f t="shared" si="16"/>
        <v>0</v>
      </c>
      <c r="N32" s="112">
        <f t="shared" si="16"/>
        <v>0</v>
      </c>
      <c r="O32" s="112"/>
      <c r="P32" s="106"/>
      <c r="Q32" s="106"/>
      <c r="R32" s="106"/>
    </row>
    <row r="33" spans="1:18" ht="12.75">
      <c r="A33" s="112"/>
      <c r="B33" s="112"/>
      <c r="C33" s="114" t="s">
        <v>27</v>
      </c>
      <c r="D33" s="112"/>
      <c r="E33" s="112">
        <f>IF(E13="",0,1)</f>
        <v>0</v>
      </c>
      <c r="F33" s="112">
        <f aca="true" t="shared" si="17" ref="F33:N33">IF(F13="",0,1)</f>
        <v>0</v>
      </c>
      <c r="G33" s="112">
        <f t="shared" si="17"/>
        <v>0</v>
      </c>
      <c r="H33" s="112">
        <f t="shared" si="17"/>
        <v>0</v>
      </c>
      <c r="I33" s="112">
        <f t="shared" si="17"/>
        <v>0</v>
      </c>
      <c r="J33" s="112">
        <f t="shared" si="17"/>
        <v>0</v>
      </c>
      <c r="K33" s="112">
        <f t="shared" si="17"/>
        <v>0</v>
      </c>
      <c r="L33" s="112">
        <f t="shared" si="17"/>
        <v>0</v>
      </c>
      <c r="M33" s="112">
        <f t="shared" si="17"/>
        <v>0</v>
      </c>
      <c r="N33" s="112">
        <f t="shared" si="17"/>
        <v>0</v>
      </c>
      <c r="O33" s="112"/>
      <c r="P33" s="106"/>
      <c r="Q33" s="106"/>
      <c r="R33" s="106"/>
    </row>
    <row r="34" spans="1:18" ht="25.5">
      <c r="A34" s="112"/>
      <c r="B34" s="135" t="s">
        <v>106</v>
      </c>
      <c r="C34" s="117"/>
      <c r="D34" s="112"/>
      <c r="E34" s="112">
        <f>E29+E30+E31+E32</f>
        <v>0</v>
      </c>
      <c r="F34" s="112">
        <f aca="true" t="shared" si="18" ref="F34:N34">F29+F30+F31+F32</f>
        <v>0</v>
      </c>
      <c r="G34" s="112">
        <f t="shared" si="18"/>
        <v>0</v>
      </c>
      <c r="H34" s="112">
        <f t="shared" si="18"/>
        <v>0</v>
      </c>
      <c r="I34" s="112">
        <f t="shared" si="18"/>
        <v>0</v>
      </c>
      <c r="J34" s="112">
        <f t="shared" si="18"/>
        <v>0</v>
      </c>
      <c r="K34" s="112">
        <f t="shared" si="18"/>
        <v>0</v>
      </c>
      <c r="L34" s="112">
        <f t="shared" si="18"/>
        <v>0</v>
      </c>
      <c r="M34" s="112">
        <f t="shared" si="18"/>
        <v>0</v>
      </c>
      <c r="N34" s="112">
        <f t="shared" si="18"/>
        <v>0</v>
      </c>
      <c r="O34" s="112"/>
      <c r="P34" s="106"/>
      <c r="Q34" s="106"/>
      <c r="R34" s="106"/>
    </row>
    <row r="35" spans="1:18" ht="12.75">
      <c r="A35" s="112"/>
      <c r="B35" s="112" t="s">
        <v>92</v>
      </c>
      <c r="C35" s="117" t="s">
        <v>93</v>
      </c>
      <c r="D35" s="112"/>
      <c r="E35" s="112">
        <f>IF(E11&lt;&gt;"",E11/3600*1.2,IF(E12&lt;&gt;"",E12*1.2,0))</f>
        <v>0</v>
      </c>
      <c r="F35" s="112">
        <f>IF(OR(F11&lt;&gt;"",F12&lt;&gt;"",F28=0),IF(F11&lt;&gt;"",F11/3600*1.2,IF(F12&lt;&gt;"",F12*1.2,0)),IF(OR(F28&lt;=4,F28=6),E35,#N/A))</f>
        <v>0</v>
      </c>
      <c r="G35" s="112">
        <f>IF(OR(G11&lt;&gt;"",G12&lt;&gt;"",G28=0),IF(G11&lt;&gt;"",G11/3600*1.2,IF(G12&lt;&gt;"",G12*1.2,0)),IF(OR(G28&lt;=4,G28=6),F35,IF(G28=5,F35+E35,#N/A)))</f>
        <v>0</v>
      </c>
      <c r="H35" s="112">
        <f aca="true" t="shared" si="19" ref="H35:N35">IF(OR(H11&lt;&gt;"",H12&lt;&gt;"",H28=0),IF(H11&lt;&gt;"",H11/3600*1.2,IF(H12&lt;&gt;"",H12*1.2,0)),IF(OR(H28&lt;=4,H28=6),G35,IF(H28=5,G35+F35,#N/A)))</f>
        <v>0</v>
      </c>
      <c r="I35" s="112">
        <f t="shared" si="19"/>
        <v>0</v>
      </c>
      <c r="J35" s="112">
        <f t="shared" si="19"/>
        <v>0</v>
      </c>
      <c r="K35" s="112">
        <f t="shared" si="19"/>
        <v>0</v>
      </c>
      <c r="L35" s="112">
        <f t="shared" si="19"/>
        <v>0</v>
      </c>
      <c r="M35" s="112">
        <f t="shared" si="19"/>
        <v>0</v>
      </c>
      <c r="N35" s="112">
        <f t="shared" si="19"/>
        <v>0</v>
      </c>
      <c r="O35" s="112"/>
      <c r="P35" s="106"/>
      <c r="Q35" s="106"/>
      <c r="R35" s="106"/>
    </row>
    <row r="36" spans="1:18" ht="25.5">
      <c r="A36" s="112"/>
      <c r="B36" s="134" t="s">
        <v>135</v>
      </c>
      <c r="C36" s="114" t="s">
        <v>0</v>
      </c>
      <c r="D36" s="112"/>
      <c r="E36" s="112">
        <f>IF(E29=1,E6,"")</f>
      </c>
      <c r="F36" s="112">
        <f aca="true" t="shared" si="20" ref="F36:N36">IF(F29=1,F6,"")</f>
      </c>
      <c r="G36" s="112">
        <f t="shared" si="20"/>
      </c>
      <c r="H36" s="112">
        <f t="shared" si="20"/>
      </c>
      <c r="I36" s="112">
        <f t="shared" si="20"/>
      </c>
      <c r="J36" s="112">
        <f t="shared" si="20"/>
      </c>
      <c r="K36" s="112">
        <f t="shared" si="20"/>
      </c>
      <c r="L36" s="112">
        <f t="shared" si="20"/>
      </c>
      <c r="M36" s="112">
        <f t="shared" si="20"/>
      </c>
      <c r="N36" s="112">
        <f t="shared" si="20"/>
      </c>
      <c r="O36" s="112"/>
      <c r="P36" s="106"/>
      <c r="Q36" s="106"/>
      <c r="R36" s="106"/>
    </row>
    <row r="37" spans="1:18" ht="12.75">
      <c r="A37" s="112"/>
      <c r="B37" s="112"/>
      <c r="C37" s="115" t="s">
        <v>1</v>
      </c>
      <c r="D37" s="112"/>
      <c r="E37" s="112">
        <f>IF(E30=1,E7/100,"")</f>
      </c>
      <c r="F37" s="112">
        <f aca="true" t="shared" si="21" ref="F37:N37">IF(F30=1,F7/100,"")</f>
      </c>
      <c r="G37" s="112">
        <f t="shared" si="21"/>
      </c>
      <c r="H37" s="112">
        <f t="shared" si="21"/>
      </c>
      <c r="I37" s="112">
        <f t="shared" si="21"/>
      </c>
      <c r="J37" s="112">
        <f t="shared" si="21"/>
      </c>
      <c r="K37" s="112">
        <f t="shared" si="21"/>
      </c>
      <c r="L37" s="112">
        <f t="shared" si="21"/>
      </c>
      <c r="M37" s="112">
        <f t="shared" si="21"/>
      </c>
      <c r="N37" s="112">
        <f t="shared" si="21"/>
      </c>
      <c r="O37" s="112"/>
      <c r="P37" s="106"/>
      <c r="Q37" s="106"/>
      <c r="R37" s="106"/>
    </row>
    <row r="38" spans="1:18" ht="12.75">
      <c r="A38" s="112"/>
      <c r="B38" s="112"/>
      <c r="C38" s="114" t="s">
        <v>2</v>
      </c>
      <c r="D38" s="112"/>
      <c r="E38" s="112">
        <f>IF(E31=1,E8,"")</f>
      </c>
      <c r="F38" s="112">
        <f aca="true" t="shared" si="22" ref="F38:N38">IF(F31=1,F8,"")</f>
      </c>
      <c r="G38" s="112">
        <f t="shared" si="22"/>
      </c>
      <c r="H38" s="112">
        <f t="shared" si="22"/>
      </c>
      <c r="I38" s="112">
        <f t="shared" si="22"/>
      </c>
      <c r="J38" s="112">
        <f t="shared" si="22"/>
      </c>
      <c r="K38" s="112">
        <f t="shared" si="22"/>
      </c>
      <c r="L38" s="112">
        <f t="shared" si="22"/>
      </c>
      <c r="M38" s="112">
        <f t="shared" si="22"/>
      </c>
      <c r="N38" s="112">
        <f t="shared" si="22"/>
      </c>
      <c r="O38" s="112"/>
      <c r="P38" s="106"/>
      <c r="Q38" s="106"/>
      <c r="R38" s="106"/>
    </row>
    <row r="39" spans="1:18" ht="12.75">
      <c r="A39" s="112"/>
      <c r="B39" s="112"/>
      <c r="C39" s="114" t="s">
        <v>3</v>
      </c>
      <c r="D39" s="112"/>
      <c r="E39" s="112">
        <f>IF(E32=1,E9,"")</f>
      </c>
      <c r="F39" s="112">
        <f aca="true" t="shared" si="23" ref="F39:N39">IF(F32=1,F9,"")</f>
      </c>
      <c r="G39" s="112">
        <f t="shared" si="23"/>
      </c>
      <c r="H39" s="112">
        <f t="shared" si="23"/>
      </c>
      <c r="I39" s="112">
        <f t="shared" si="23"/>
      </c>
      <c r="J39" s="112">
        <f t="shared" si="23"/>
      </c>
      <c r="K39" s="112">
        <f t="shared" si="23"/>
      </c>
      <c r="L39" s="112">
        <f t="shared" si="23"/>
      </c>
      <c r="M39" s="112">
        <f t="shared" si="23"/>
      </c>
      <c r="N39" s="112">
        <f t="shared" si="23"/>
      </c>
      <c r="O39" s="112"/>
      <c r="P39" s="106"/>
      <c r="Q39" s="106"/>
      <c r="R39" s="106"/>
    </row>
    <row r="40" spans="1:18" ht="12.75">
      <c r="A40" s="112"/>
      <c r="B40" s="112" t="s">
        <v>107</v>
      </c>
      <c r="C40" s="112" t="s">
        <v>36</v>
      </c>
      <c r="D40" s="112"/>
      <c r="E40" s="119" t="b">
        <f>OR(E34&gt;2,E33=1)</f>
        <v>0</v>
      </c>
      <c r="F40" s="119" t="b">
        <f aca="true" t="shared" si="24" ref="F40:N40">OR(F34&gt;2,F33=1)</f>
        <v>0</v>
      </c>
      <c r="G40" s="119" t="b">
        <f t="shared" si="24"/>
        <v>0</v>
      </c>
      <c r="H40" s="119" t="b">
        <f t="shared" si="24"/>
        <v>0</v>
      </c>
      <c r="I40" s="119" t="b">
        <f t="shared" si="24"/>
        <v>0</v>
      </c>
      <c r="J40" s="119" t="b">
        <f t="shared" si="24"/>
        <v>0</v>
      </c>
      <c r="K40" s="119" t="b">
        <f t="shared" si="24"/>
        <v>0</v>
      </c>
      <c r="L40" s="119" t="b">
        <f t="shared" si="24"/>
        <v>0</v>
      </c>
      <c r="M40" s="119" t="b">
        <f t="shared" si="24"/>
        <v>0</v>
      </c>
      <c r="N40" s="119" t="b">
        <f t="shared" si="24"/>
        <v>0</v>
      </c>
      <c r="O40" s="112"/>
      <c r="P40" s="106"/>
      <c r="Q40" s="106"/>
      <c r="R40" s="106"/>
    </row>
    <row r="41" spans="1:18" ht="12.75">
      <c r="A41" s="112"/>
      <c r="B41" s="112" t="s">
        <v>47</v>
      </c>
      <c r="C41" s="112" t="s">
        <v>36</v>
      </c>
      <c r="D41" s="112"/>
      <c r="E41" s="119" t="b">
        <f>E34=1</f>
        <v>0</v>
      </c>
      <c r="F41" s="119" t="b">
        <f aca="true" t="shared" si="25" ref="F41:N41">F34=1</f>
        <v>0</v>
      </c>
      <c r="G41" s="119" t="b">
        <f t="shared" si="25"/>
        <v>0</v>
      </c>
      <c r="H41" s="119" t="b">
        <f t="shared" si="25"/>
        <v>0</v>
      </c>
      <c r="I41" s="119" t="b">
        <f t="shared" si="25"/>
        <v>0</v>
      </c>
      <c r="J41" s="119" t="b">
        <f t="shared" si="25"/>
        <v>0</v>
      </c>
      <c r="K41" s="119" t="b">
        <f t="shared" si="25"/>
        <v>0</v>
      </c>
      <c r="L41" s="119" t="b">
        <f t="shared" si="25"/>
        <v>0</v>
      </c>
      <c r="M41" s="119" t="b">
        <f t="shared" si="25"/>
        <v>0</v>
      </c>
      <c r="N41" s="119" t="b">
        <f t="shared" si="25"/>
        <v>0</v>
      </c>
      <c r="O41" s="112"/>
      <c r="P41" s="106"/>
      <c r="Q41" s="106"/>
      <c r="R41" s="106"/>
    </row>
    <row r="42" spans="1:18" ht="12.75">
      <c r="A42" s="112"/>
      <c r="B42" s="112" t="s">
        <v>36</v>
      </c>
      <c r="C42" s="112" t="s">
        <v>36</v>
      </c>
      <c r="D42" s="112"/>
      <c r="E42" s="119" t="b">
        <f>E34=0</f>
        <v>1</v>
      </c>
      <c r="F42" s="119" t="b">
        <f aca="true" t="shared" si="26" ref="F42:N42">F34=0</f>
        <v>1</v>
      </c>
      <c r="G42" s="119" t="b">
        <f t="shared" si="26"/>
        <v>1</v>
      </c>
      <c r="H42" s="119" t="b">
        <f t="shared" si="26"/>
        <v>1</v>
      </c>
      <c r="I42" s="119" t="b">
        <f t="shared" si="26"/>
        <v>1</v>
      </c>
      <c r="J42" s="119" t="b">
        <f t="shared" si="26"/>
        <v>1</v>
      </c>
      <c r="K42" s="119" t="b">
        <f t="shared" si="26"/>
        <v>1</v>
      </c>
      <c r="L42" s="119" t="b">
        <f t="shared" si="26"/>
        <v>1</v>
      </c>
      <c r="M42" s="119" t="b">
        <f t="shared" si="26"/>
        <v>1</v>
      </c>
      <c r="N42" s="119" t="b">
        <f t="shared" si="26"/>
        <v>1</v>
      </c>
      <c r="O42" s="112"/>
      <c r="P42" s="106"/>
      <c r="Q42" s="106"/>
      <c r="R42" s="106"/>
    </row>
    <row r="43" spans="1:18" ht="12.75">
      <c r="A43" s="112"/>
      <c r="B43" s="116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06"/>
      <c r="Q43" s="106"/>
      <c r="R43" s="106"/>
    </row>
    <row r="44" spans="1:18" ht="25.5">
      <c r="A44" s="112"/>
      <c r="B44" s="134" t="s">
        <v>98</v>
      </c>
      <c r="C44" s="114" t="s">
        <v>0</v>
      </c>
      <c r="D44" s="112"/>
      <c r="E44" s="120">
        <f>""</f>
      </c>
      <c r="F44" s="121">
        <f aca="true" t="shared" si="27" ref="F44:N44">IF(F29=1,F6,"")</f>
      </c>
      <c r="G44" s="121">
        <f t="shared" si="27"/>
      </c>
      <c r="H44" s="121">
        <f t="shared" si="27"/>
      </c>
      <c r="I44" s="121">
        <f t="shared" si="27"/>
      </c>
      <c r="J44" s="121">
        <f t="shared" si="27"/>
      </c>
      <c r="K44" s="121">
        <f t="shared" si="27"/>
      </c>
      <c r="L44" s="121">
        <f t="shared" si="27"/>
      </c>
      <c r="M44" s="121">
        <f t="shared" si="27"/>
      </c>
      <c r="N44" s="121">
        <f t="shared" si="27"/>
      </c>
      <c r="O44" s="112"/>
      <c r="P44" s="106"/>
      <c r="Q44" s="106"/>
      <c r="R44" s="106"/>
    </row>
    <row r="45" spans="1:18" ht="12.75">
      <c r="A45" s="112"/>
      <c r="B45" s="112"/>
      <c r="C45" s="115" t="s">
        <v>1</v>
      </c>
      <c r="D45" s="112"/>
      <c r="E45" s="120">
        <f>""</f>
      </c>
      <c r="F45" s="120">
        <f>""</f>
      </c>
      <c r="G45" s="120">
        <f>""</f>
      </c>
      <c r="H45" s="120">
        <f>""</f>
      </c>
      <c r="I45" s="120">
        <f>""</f>
      </c>
      <c r="J45" s="120">
        <f>""</f>
      </c>
      <c r="K45" s="120">
        <f>""</f>
      </c>
      <c r="L45" s="120">
        <f>""</f>
      </c>
      <c r="M45" s="120">
        <f>""</f>
      </c>
      <c r="N45" s="120">
        <f>""</f>
      </c>
      <c r="O45" s="112"/>
      <c r="P45" s="106"/>
      <c r="Q45" s="106"/>
      <c r="R45" s="106"/>
    </row>
    <row r="46" spans="1:18" ht="12.75">
      <c r="A46" s="112"/>
      <c r="B46" s="112"/>
      <c r="C46" s="114" t="s">
        <v>2</v>
      </c>
      <c r="D46" s="112"/>
      <c r="E46" s="120">
        <f>""</f>
      </c>
      <c r="F46" s="122">
        <f>E18</f>
      </c>
      <c r="G46" s="122">
        <f aca="true" t="shared" si="28" ref="G46:N46">F18</f>
      </c>
      <c r="H46" s="122">
        <f t="shared" si="28"/>
      </c>
      <c r="I46" s="122">
        <f t="shared" si="28"/>
      </c>
      <c r="J46" s="122">
        <f t="shared" si="28"/>
      </c>
      <c r="K46" s="122">
        <f t="shared" si="28"/>
      </c>
      <c r="L46" s="122">
        <f t="shared" si="28"/>
      </c>
      <c r="M46" s="122">
        <f t="shared" si="28"/>
      </c>
      <c r="N46" s="122">
        <f t="shared" si="28"/>
      </c>
      <c r="O46" s="112"/>
      <c r="P46" s="106"/>
      <c r="Q46" s="106"/>
      <c r="R46" s="106"/>
    </row>
    <row r="47" spans="1:18" ht="12.75">
      <c r="A47" s="112"/>
      <c r="B47" s="112"/>
      <c r="C47" s="114" t="s">
        <v>3</v>
      </c>
      <c r="D47" s="112"/>
      <c r="E47" s="120" t="e">
        <f>IF(E29=1,"",D47+ABS(E13/E35))</f>
        <v>#DIV/0!</v>
      </c>
      <c r="F47" s="120" t="e">
        <f>IF(F29=1,"",E19+ABS(F13/F35))</f>
        <v>#VALUE!</v>
      </c>
      <c r="G47" s="120" t="e">
        <f aca="true" t="shared" si="29" ref="G47:N47">IF(G29=1,"",F19+ABS(G13/G35))</f>
        <v>#VALUE!</v>
      </c>
      <c r="H47" s="120" t="e">
        <f t="shared" si="29"/>
        <v>#VALUE!</v>
      </c>
      <c r="I47" s="120" t="e">
        <f t="shared" si="29"/>
        <v>#VALUE!</v>
      </c>
      <c r="J47" s="120" t="e">
        <f t="shared" si="29"/>
        <v>#VALUE!</v>
      </c>
      <c r="K47" s="120" t="e">
        <f t="shared" si="29"/>
        <v>#VALUE!</v>
      </c>
      <c r="L47" s="120" t="e">
        <f t="shared" si="29"/>
        <v>#VALUE!</v>
      </c>
      <c r="M47" s="120" t="e">
        <f t="shared" si="29"/>
        <v>#VALUE!</v>
      </c>
      <c r="N47" s="120" t="e">
        <f t="shared" si="29"/>
        <v>#VALUE!</v>
      </c>
      <c r="O47" s="112"/>
      <c r="P47" s="106"/>
      <c r="Q47" s="106"/>
      <c r="R47" s="106"/>
    </row>
    <row r="48" spans="1:18" ht="12.75">
      <c r="A48" s="112"/>
      <c r="B48" s="112" t="s">
        <v>107</v>
      </c>
      <c r="C48" s="112" t="s">
        <v>36</v>
      </c>
      <c r="D48" s="112"/>
      <c r="E48" s="119" t="b">
        <f>TRUE</f>
        <v>1</v>
      </c>
      <c r="F48" s="119" t="b">
        <f>OR(F30=1,F31=1,F32=1,(F29+F33)=2)</f>
        <v>0</v>
      </c>
      <c r="G48" s="119" t="b">
        <f aca="true" t="shared" si="30" ref="G48:N48">OR(G30=1,G31=1,G32=1,(G29+G33)=2)</f>
        <v>0</v>
      </c>
      <c r="H48" s="119" t="b">
        <f t="shared" si="30"/>
        <v>0</v>
      </c>
      <c r="I48" s="119" t="b">
        <f t="shared" si="30"/>
        <v>0</v>
      </c>
      <c r="J48" s="119" t="b">
        <f t="shared" si="30"/>
        <v>0</v>
      </c>
      <c r="K48" s="119" t="b">
        <f t="shared" si="30"/>
        <v>0</v>
      </c>
      <c r="L48" s="119" t="b">
        <f t="shared" si="30"/>
        <v>0</v>
      </c>
      <c r="M48" s="119" t="b">
        <f t="shared" si="30"/>
        <v>0</v>
      </c>
      <c r="N48" s="119" t="b">
        <f t="shared" si="30"/>
        <v>0</v>
      </c>
      <c r="O48" s="112"/>
      <c r="P48" s="106"/>
      <c r="Q48" s="106"/>
      <c r="R48" s="106"/>
    </row>
    <row r="49" spans="1:18" ht="12.75">
      <c r="A49" s="112"/>
      <c r="B49" s="112" t="s">
        <v>47</v>
      </c>
      <c r="C49" s="112" t="s">
        <v>36</v>
      </c>
      <c r="D49" s="112"/>
      <c r="E49" s="119" t="b">
        <f>FALSE</f>
        <v>0</v>
      </c>
      <c r="F49" s="119" t="b">
        <f>(F29+F33)=0</f>
        <v>1</v>
      </c>
      <c r="G49" s="119" t="b">
        <f aca="true" t="shared" si="31" ref="G49:N49">(G29+G33)=0</f>
        <v>1</v>
      </c>
      <c r="H49" s="119" t="b">
        <f t="shared" si="31"/>
        <v>1</v>
      </c>
      <c r="I49" s="119" t="b">
        <f t="shared" si="31"/>
        <v>1</v>
      </c>
      <c r="J49" s="119" t="b">
        <f t="shared" si="31"/>
        <v>1</v>
      </c>
      <c r="K49" s="119" t="b">
        <f t="shared" si="31"/>
        <v>1</v>
      </c>
      <c r="L49" s="119" t="b">
        <f t="shared" si="31"/>
        <v>1</v>
      </c>
      <c r="M49" s="119" t="b">
        <f t="shared" si="31"/>
        <v>1</v>
      </c>
      <c r="N49" s="119" t="b">
        <f t="shared" si="31"/>
        <v>1</v>
      </c>
      <c r="O49" s="112"/>
      <c r="P49" s="106"/>
      <c r="Q49" s="106"/>
      <c r="R49" s="106"/>
    </row>
    <row r="50" spans="1:18" ht="12.75">
      <c r="A50" s="112"/>
      <c r="B50" s="112" t="s">
        <v>36</v>
      </c>
      <c r="C50" s="112" t="s">
        <v>36</v>
      </c>
      <c r="D50" s="112"/>
      <c r="E50" s="119" t="b">
        <f>FALSE</f>
        <v>0</v>
      </c>
      <c r="F50" s="119" t="b">
        <f>FALSE</f>
        <v>0</v>
      </c>
      <c r="G50" s="119" t="b">
        <f>FALSE</f>
        <v>0</v>
      </c>
      <c r="H50" s="119" t="b">
        <f>FALSE</f>
        <v>0</v>
      </c>
      <c r="I50" s="119" t="b">
        <f>FALSE</f>
        <v>0</v>
      </c>
      <c r="J50" s="119" t="b">
        <f>FALSE</f>
        <v>0</v>
      </c>
      <c r="K50" s="119" t="b">
        <f>FALSE</f>
        <v>0</v>
      </c>
      <c r="L50" s="119" t="b">
        <f>FALSE</f>
        <v>0</v>
      </c>
      <c r="M50" s="119" t="b">
        <f>FALSE</f>
        <v>0</v>
      </c>
      <c r="N50" s="119" t="b">
        <f>FALSE</f>
        <v>0</v>
      </c>
      <c r="O50" s="112"/>
      <c r="P50" s="106"/>
      <c r="Q50" s="106"/>
      <c r="R50" s="106"/>
    </row>
    <row r="51" spans="1:18" ht="12.75">
      <c r="A51" s="112"/>
      <c r="B51" s="116"/>
      <c r="C51" s="112"/>
      <c r="D51" s="112"/>
      <c r="E51" s="120"/>
      <c r="F51" s="121"/>
      <c r="G51" s="121"/>
      <c r="H51" s="121"/>
      <c r="I51" s="121"/>
      <c r="J51" s="121"/>
      <c r="K51" s="121"/>
      <c r="L51" s="121"/>
      <c r="M51" s="121"/>
      <c r="N51" s="121"/>
      <c r="O51" s="112"/>
      <c r="P51" s="106"/>
      <c r="Q51" s="106"/>
      <c r="R51" s="106"/>
    </row>
    <row r="52" spans="1:18" ht="25.5">
      <c r="A52" s="112"/>
      <c r="B52" s="134" t="s">
        <v>99</v>
      </c>
      <c r="C52" s="114" t="s">
        <v>0</v>
      </c>
      <c r="D52" s="112"/>
      <c r="E52" s="120">
        <f>""</f>
      </c>
      <c r="F52" s="121">
        <f>IF(F29=1,F6,"")</f>
      </c>
      <c r="G52" s="121">
        <f aca="true" t="shared" si="32" ref="G52:N52">IF(G29=1,G6,"")</f>
      </c>
      <c r="H52" s="121">
        <f t="shared" si="32"/>
      </c>
      <c r="I52" s="121">
        <f t="shared" si="32"/>
      </c>
      <c r="J52" s="121">
        <f t="shared" si="32"/>
      </c>
      <c r="K52" s="121">
        <f t="shared" si="32"/>
      </c>
      <c r="L52" s="121">
        <f t="shared" si="32"/>
      </c>
      <c r="M52" s="121">
        <f t="shared" si="32"/>
      </c>
      <c r="N52" s="121">
        <f t="shared" si="32"/>
      </c>
      <c r="O52" s="112"/>
      <c r="P52" s="106"/>
      <c r="Q52" s="106"/>
      <c r="R52" s="106"/>
    </row>
    <row r="53" spans="1:18" ht="12.75">
      <c r="A53" s="112"/>
      <c r="B53" s="112"/>
      <c r="C53" s="115" t="s">
        <v>1</v>
      </c>
      <c r="D53" s="112"/>
      <c r="E53" s="120">
        <f>""</f>
      </c>
      <c r="F53" s="121">
        <f>""</f>
      </c>
      <c r="G53" s="121">
        <f>""</f>
      </c>
      <c r="H53" s="121">
        <f>""</f>
      </c>
      <c r="I53" s="121">
        <f>""</f>
      </c>
      <c r="J53" s="121">
        <f>""</f>
      </c>
      <c r="K53" s="121">
        <f>""</f>
      </c>
      <c r="L53" s="121">
        <f>""</f>
      </c>
      <c r="M53" s="121">
        <f>""</f>
      </c>
      <c r="N53" s="121">
        <f>""</f>
      </c>
      <c r="O53" s="112"/>
      <c r="P53" s="106"/>
      <c r="Q53" s="106"/>
      <c r="R53" s="106"/>
    </row>
    <row r="54" spans="1:18" ht="12.75">
      <c r="A54" s="112"/>
      <c r="B54" s="112"/>
      <c r="C54" s="114" t="s">
        <v>2</v>
      </c>
      <c r="D54" s="112"/>
      <c r="E54" s="120">
        <f>""</f>
      </c>
      <c r="F54" s="121">
        <f>IF(F33=1,MIN(E18,E18+(xchladice-E18)*(E19-F55)/(E19-Hchladice)),IF(AND(F29=1,xchladice&gt;=E18),E18,""))</f>
      </c>
      <c r="G54" s="121">
        <f aca="true" t="shared" si="33" ref="G54:N54">IF(G33=1,MIN(F18,F18+(xchladice-F18)*(F19-G55)/(F19-Hchladice)),IF(AND(G29=1,xchladice&gt;=F18),F18,""))</f>
      </c>
      <c r="H54" s="121">
        <f t="shared" si="33"/>
      </c>
      <c r="I54" s="121">
        <f t="shared" si="33"/>
      </c>
      <c r="J54" s="121">
        <f t="shared" si="33"/>
      </c>
      <c r="K54" s="121">
        <f t="shared" si="33"/>
      </c>
      <c r="L54" s="121">
        <f t="shared" si="33"/>
      </c>
      <c r="M54" s="121">
        <f t="shared" si="33"/>
      </c>
      <c r="N54" s="121">
        <f t="shared" si="33"/>
      </c>
      <c r="O54" s="112"/>
      <c r="P54" s="106"/>
      <c r="Q54" s="106"/>
      <c r="R54" s="106"/>
    </row>
    <row r="55" spans="1:18" ht="12.75">
      <c r="A55" s="112"/>
      <c r="B55" s="112"/>
      <c r="C55" s="114" t="s">
        <v>3</v>
      </c>
      <c r="D55" s="112"/>
      <c r="E55" s="120">
        <f>""</f>
      </c>
      <c r="F55" s="121" t="e">
        <f>IF(F33=1,E19-ABS(F13/F35),IF(xchladice&lt;E18,E19-(E19-Hchladice)*(F6-E16)/(Tchladice-E16),""))</f>
        <v>#VALUE!</v>
      </c>
      <c r="G55" s="121" t="e">
        <f aca="true" t="shared" si="34" ref="G55:N55">IF(G33=1,F19-ABS(G13/G35),IF(xchladice&lt;F18,F19-(F19-Hchladice)*(G6-F16)/(Tchladice-F16),""))</f>
        <v>#VALUE!</v>
      </c>
      <c r="H55" s="121" t="e">
        <f t="shared" si="34"/>
        <v>#VALUE!</v>
      </c>
      <c r="I55" s="121" t="e">
        <f t="shared" si="34"/>
        <v>#VALUE!</v>
      </c>
      <c r="J55" s="121" t="e">
        <f t="shared" si="34"/>
        <v>#VALUE!</v>
      </c>
      <c r="K55" s="121" t="e">
        <f t="shared" si="34"/>
        <v>#VALUE!</v>
      </c>
      <c r="L55" s="121" t="e">
        <f t="shared" si="34"/>
        <v>#VALUE!</v>
      </c>
      <c r="M55" s="121" t="e">
        <f t="shared" si="34"/>
        <v>#VALUE!</v>
      </c>
      <c r="N55" s="121" t="e">
        <f t="shared" si="34"/>
        <v>#VALUE!</v>
      </c>
      <c r="O55" s="112"/>
      <c r="P55" s="106"/>
      <c r="Q55" s="106"/>
      <c r="R55" s="106"/>
    </row>
    <row r="56" spans="1:18" ht="12.75">
      <c r="A56" s="112"/>
      <c r="B56" s="112" t="s">
        <v>107</v>
      </c>
      <c r="C56" s="112" t="s">
        <v>36</v>
      </c>
      <c r="D56" s="112"/>
      <c r="E56" s="119" t="b">
        <f>TRUE</f>
        <v>1</v>
      </c>
      <c r="F56" s="119" t="b">
        <f>OR(F30=1,F31=1,F32=1,(F29+F33)=2)</f>
        <v>0</v>
      </c>
      <c r="G56" s="119" t="b">
        <f aca="true" t="shared" si="35" ref="G56:N56">OR(G30=1,G31=1,G32=1,(G29+G33)=2)</f>
        <v>0</v>
      </c>
      <c r="H56" s="119" t="b">
        <f t="shared" si="35"/>
        <v>0</v>
      </c>
      <c r="I56" s="119" t="b">
        <f t="shared" si="35"/>
        <v>0</v>
      </c>
      <c r="J56" s="119" t="b">
        <f t="shared" si="35"/>
        <v>0</v>
      </c>
      <c r="K56" s="119" t="b">
        <f t="shared" si="35"/>
        <v>0</v>
      </c>
      <c r="L56" s="119" t="b">
        <f t="shared" si="35"/>
        <v>0</v>
      </c>
      <c r="M56" s="119" t="b">
        <f t="shared" si="35"/>
        <v>0</v>
      </c>
      <c r="N56" s="119" t="b">
        <f t="shared" si="35"/>
        <v>0</v>
      </c>
      <c r="O56" s="112"/>
      <c r="P56" s="106"/>
      <c r="Q56" s="106"/>
      <c r="R56" s="106"/>
    </row>
    <row r="57" spans="1:18" ht="12.75">
      <c r="A57" s="112"/>
      <c r="B57" s="112" t="s">
        <v>47</v>
      </c>
      <c r="C57" s="112" t="s">
        <v>36</v>
      </c>
      <c r="D57" s="112"/>
      <c r="E57" s="119" t="b">
        <f>FALSE</f>
        <v>0</v>
      </c>
      <c r="F57" s="119" t="b">
        <f>(F29+F33)=0</f>
        <v>1</v>
      </c>
      <c r="G57" s="119" t="b">
        <f aca="true" t="shared" si="36" ref="G57:N57">(G29+G33)=0</f>
        <v>1</v>
      </c>
      <c r="H57" s="119" t="b">
        <f t="shared" si="36"/>
        <v>1</v>
      </c>
      <c r="I57" s="119" t="b">
        <f t="shared" si="36"/>
        <v>1</v>
      </c>
      <c r="J57" s="119" t="b">
        <f t="shared" si="36"/>
        <v>1</v>
      </c>
      <c r="K57" s="119" t="b">
        <f t="shared" si="36"/>
        <v>1</v>
      </c>
      <c r="L57" s="119" t="b">
        <f t="shared" si="36"/>
        <v>1</v>
      </c>
      <c r="M57" s="119" t="b">
        <f t="shared" si="36"/>
        <v>1</v>
      </c>
      <c r="N57" s="119" t="b">
        <f t="shared" si="36"/>
        <v>1</v>
      </c>
      <c r="O57" s="112"/>
      <c r="P57" s="106"/>
      <c r="Q57" s="106"/>
      <c r="R57" s="106"/>
    </row>
    <row r="58" spans="1:18" ht="12.75">
      <c r="A58" s="112"/>
      <c r="B58" s="112" t="s">
        <v>36</v>
      </c>
      <c r="C58" s="112" t="s">
        <v>36</v>
      </c>
      <c r="D58" s="112"/>
      <c r="E58" s="119" t="b">
        <f>FALSE</f>
        <v>0</v>
      </c>
      <c r="F58" s="119" t="b">
        <f>FALSE</f>
        <v>0</v>
      </c>
      <c r="G58" s="119" t="b">
        <f>FALSE</f>
        <v>0</v>
      </c>
      <c r="H58" s="119" t="b">
        <f>FALSE</f>
        <v>0</v>
      </c>
      <c r="I58" s="119" t="b">
        <f>FALSE</f>
        <v>0</v>
      </c>
      <c r="J58" s="119" t="b">
        <f>FALSE</f>
        <v>0</v>
      </c>
      <c r="K58" s="119" t="b">
        <f>FALSE</f>
        <v>0</v>
      </c>
      <c r="L58" s="119" t="b">
        <f>FALSE</f>
        <v>0</v>
      </c>
      <c r="M58" s="119" t="b">
        <f>FALSE</f>
        <v>0</v>
      </c>
      <c r="N58" s="119" t="b">
        <f>FALSE</f>
        <v>0</v>
      </c>
      <c r="O58" s="112"/>
      <c r="P58" s="106"/>
      <c r="Q58" s="106"/>
      <c r="R58" s="106"/>
    </row>
    <row r="59" spans="1:18" ht="12.75">
      <c r="A59" s="112"/>
      <c r="B59" s="116"/>
      <c r="C59" s="112"/>
      <c r="D59" s="112"/>
      <c r="E59" s="120"/>
      <c r="F59" s="121"/>
      <c r="G59" s="121"/>
      <c r="H59" s="121"/>
      <c r="I59" s="121"/>
      <c r="J59" s="121"/>
      <c r="K59" s="121"/>
      <c r="L59" s="121"/>
      <c r="M59" s="121"/>
      <c r="N59" s="121"/>
      <c r="O59" s="112"/>
      <c r="P59" s="106"/>
      <c r="Q59" s="106"/>
      <c r="R59" s="106"/>
    </row>
    <row r="60" spans="1:18" ht="38.25">
      <c r="A60" s="112"/>
      <c r="B60" s="134" t="s">
        <v>104</v>
      </c>
      <c r="C60" s="114" t="s">
        <v>0</v>
      </c>
      <c r="D60" s="112"/>
      <c r="E60" s="120">
        <f>""</f>
      </c>
      <c r="F60" s="121">
        <f>IF(F29=1,MAX(F6,E21),"")</f>
      </c>
      <c r="G60" s="121">
        <f aca="true" t="shared" si="37" ref="G60:N60">IF(G29=1,G6,"")</f>
      </c>
      <c r="H60" s="121">
        <f t="shared" si="37"/>
      </c>
      <c r="I60" s="121">
        <f t="shared" si="37"/>
      </c>
      <c r="J60" s="121">
        <f t="shared" si="37"/>
      </c>
      <c r="K60" s="121">
        <f t="shared" si="37"/>
      </c>
      <c r="L60" s="121">
        <f t="shared" si="37"/>
      </c>
      <c r="M60" s="121">
        <f t="shared" si="37"/>
      </c>
      <c r="N60" s="121">
        <f t="shared" si="37"/>
      </c>
      <c r="O60" s="112"/>
      <c r="P60" s="106"/>
      <c r="Q60" s="106"/>
      <c r="R60" s="106"/>
    </row>
    <row r="61" spans="1:18" ht="12.75">
      <c r="A61" s="112"/>
      <c r="B61" s="112"/>
      <c r="C61" s="115" t="s">
        <v>1</v>
      </c>
      <c r="D61" s="112"/>
      <c r="E61" s="120">
        <f>""</f>
      </c>
      <c r="F61" s="121">
        <f>IF(F30=1,F7/100,"")</f>
      </c>
      <c r="G61" s="121">
        <f aca="true" t="shared" si="38" ref="G61:N61">IF(G30=1,G7/100,"")</f>
      </c>
      <c r="H61" s="121">
        <f t="shared" si="38"/>
      </c>
      <c r="I61" s="121">
        <f t="shared" si="38"/>
      </c>
      <c r="J61" s="121">
        <f t="shared" si="38"/>
      </c>
      <c r="K61" s="121">
        <f t="shared" si="38"/>
      </c>
      <c r="L61" s="121">
        <f t="shared" si="38"/>
      </c>
      <c r="M61" s="121">
        <f t="shared" si="38"/>
      </c>
      <c r="N61" s="121">
        <f t="shared" si="38"/>
      </c>
      <c r="O61" s="112"/>
      <c r="P61" s="106"/>
      <c r="Q61" s="106"/>
      <c r="R61" s="106"/>
    </row>
    <row r="62" spans="1:18" ht="12.75">
      <c r="A62" s="112"/>
      <c r="B62" s="112"/>
      <c r="C62" s="114" t="s">
        <v>2</v>
      </c>
      <c r="D62" s="112"/>
      <c r="E62" s="120">
        <f>""</f>
      </c>
      <c r="F62" s="121">
        <f>IF(F31=1,F8,"")</f>
      </c>
      <c r="G62" s="121">
        <f aca="true" t="shared" si="39" ref="G62:N62">IF(G31=1,G8,"")</f>
      </c>
      <c r="H62" s="121">
        <f t="shared" si="39"/>
      </c>
      <c r="I62" s="121">
        <f t="shared" si="39"/>
      </c>
      <c r="J62" s="121">
        <f t="shared" si="39"/>
      </c>
      <c r="K62" s="121">
        <f t="shared" si="39"/>
      </c>
      <c r="L62" s="121">
        <f t="shared" si="39"/>
      </c>
      <c r="M62" s="121">
        <f t="shared" si="39"/>
      </c>
      <c r="N62" s="121">
        <f t="shared" si="39"/>
      </c>
      <c r="O62" s="112"/>
      <c r="P62" s="106"/>
      <c r="Q62" s="106"/>
      <c r="R62" s="106"/>
    </row>
    <row r="63" spans="1:18" ht="12.75">
      <c r="A63" s="112"/>
      <c r="B63" s="112"/>
      <c r="C63" s="114" t="s">
        <v>3</v>
      </c>
      <c r="D63" s="112"/>
      <c r="E63" s="120">
        <f>""</f>
      </c>
      <c r="F63" s="123">
        <f>E19</f>
      </c>
      <c r="G63" s="123">
        <f aca="true" t="shared" si="40" ref="G63:N63">F19</f>
      </c>
      <c r="H63" s="123">
        <f t="shared" si="40"/>
      </c>
      <c r="I63" s="123">
        <f t="shared" si="40"/>
      </c>
      <c r="J63" s="123">
        <f t="shared" si="40"/>
      </c>
      <c r="K63" s="123">
        <f t="shared" si="40"/>
      </c>
      <c r="L63" s="123">
        <f t="shared" si="40"/>
      </c>
      <c r="M63" s="123">
        <f t="shared" si="40"/>
      </c>
      <c r="N63" s="123">
        <f t="shared" si="40"/>
      </c>
      <c r="O63" s="112"/>
      <c r="P63" s="106"/>
      <c r="Q63" s="106"/>
      <c r="R63" s="106"/>
    </row>
    <row r="64" spans="1:18" ht="12.75">
      <c r="A64" s="112"/>
      <c r="B64" s="112" t="s">
        <v>107</v>
      </c>
      <c r="C64" s="112" t="s">
        <v>36</v>
      </c>
      <c r="D64" s="112"/>
      <c r="E64" s="119" t="b">
        <f>TRUE</f>
        <v>1</v>
      </c>
      <c r="F64" s="119" t="b">
        <f>OR(F33=1,F32=1,(F29+F30+F31)&gt;=2)</f>
        <v>0</v>
      </c>
      <c r="G64" s="119" t="b">
        <f aca="true" t="shared" si="41" ref="G64:N64">OR(G33=1,G32=1,(G29+G30+G31)&gt;=2)</f>
        <v>0</v>
      </c>
      <c r="H64" s="119" t="b">
        <f t="shared" si="41"/>
        <v>0</v>
      </c>
      <c r="I64" s="119" t="b">
        <f t="shared" si="41"/>
        <v>0</v>
      </c>
      <c r="J64" s="119" t="b">
        <f t="shared" si="41"/>
        <v>0</v>
      </c>
      <c r="K64" s="119" t="b">
        <f t="shared" si="41"/>
        <v>0</v>
      </c>
      <c r="L64" s="119" t="b">
        <f t="shared" si="41"/>
        <v>0</v>
      </c>
      <c r="M64" s="119" t="b">
        <f t="shared" si="41"/>
        <v>0</v>
      </c>
      <c r="N64" s="119" t="b">
        <f t="shared" si="41"/>
        <v>0</v>
      </c>
      <c r="O64" s="112"/>
      <c r="P64" s="106"/>
      <c r="Q64" s="106"/>
      <c r="R64" s="106"/>
    </row>
    <row r="65" spans="1:18" ht="12.75">
      <c r="A65" s="112"/>
      <c r="B65" s="112" t="s">
        <v>47</v>
      </c>
      <c r="C65" s="112" t="s">
        <v>36</v>
      </c>
      <c r="D65" s="112"/>
      <c r="E65" s="119" t="b">
        <f>FALSE</f>
        <v>0</v>
      </c>
      <c r="F65" s="119" t="b">
        <f>F30+F31+F29=0</f>
        <v>1</v>
      </c>
      <c r="G65" s="119" t="b">
        <f aca="true" t="shared" si="42" ref="G65:N65">G30+G31+G29=0</f>
        <v>1</v>
      </c>
      <c r="H65" s="119" t="b">
        <f t="shared" si="42"/>
        <v>1</v>
      </c>
      <c r="I65" s="119" t="b">
        <f t="shared" si="42"/>
        <v>1</v>
      </c>
      <c r="J65" s="119" t="b">
        <f t="shared" si="42"/>
        <v>1</v>
      </c>
      <c r="K65" s="119" t="b">
        <f t="shared" si="42"/>
        <v>1</v>
      </c>
      <c r="L65" s="119" t="b">
        <f t="shared" si="42"/>
        <v>1</v>
      </c>
      <c r="M65" s="119" t="b">
        <f t="shared" si="42"/>
        <v>1</v>
      </c>
      <c r="N65" s="119" t="b">
        <f t="shared" si="42"/>
        <v>1</v>
      </c>
      <c r="O65" s="112"/>
      <c r="P65" s="106"/>
      <c r="Q65" s="106"/>
      <c r="R65" s="106"/>
    </row>
    <row r="66" spans="1:18" ht="12.75">
      <c r="A66" s="112"/>
      <c r="B66" s="112" t="s">
        <v>36</v>
      </c>
      <c r="C66" s="112" t="s">
        <v>36</v>
      </c>
      <c r="D66" s="112"/>
      <c r="E66" s="119" t="b">
        <f>FALSE</f>
        <v>0</v>
      </c>
      <c r="F66" s="119" t="b">
        <f>FALSE</f>
        <v>0</v>
      </c>
      <c r="G66" s="119" t="b">
        <f>FALSE</f>
        <v>0</v>
      </c>
      <c r="H66" s="119" t="b">
        <f>FALSE</f>
        <v>0</v>
      </c>
      <c r="I66" s="119" t="b">
        <f>FALSE</f>
        <v>0</v>
      </c>
      <c r="J66" s="119" t="b">
        <f>FALSE</f>
        <v>0</v>
      </c>
      <c r="K66" s="119" t="b">
        <f>FALSE</f>
        <v>0</v>
      </c>
      <c r="L66" s="119" t="b">
        <f>FALSE</f>
        <v>0</v>
      </c>
      <c r="M66" s="119" t="b">
        <f>FALSE</f>
        <v>0</v>
      </c>
      <c r="N66" s="119" t="b">
        <f>FALSE</f>
        <v>0</v>
      </c>
      <c r="O66" s="112"/>
      <c r="P66" s="106"/>
      <c r="Q66" s="106"/>
      <c r="R66" s="106"/>
    </row>
    <row r="67" spans="1:18" ht="12.75">
      <c r="A67" s="112"/>
      <c r="B67" s="116"/>
      <c r="C67" s="112"/>
      <c r="D67" s="112"/>
      <c r="E67" s="120"/>
      <c r="F67" s="121"/>
      <c r="G67" s="121"/>
      <c r="H67" s="121"/>
      <c r="I67" s="121"/>
      <c r="J67" s="121"/>
      <c r="K67" s="121"/>
      <c r="L67" s="121"/>
      <c r="M67" s="121"/>
      <c r="N67" s="121"/>
      <c r="O67" s="112"/>
      <c r="P67" s="106"/>
      <c r="Q67" s="106"/>
      <c r="R67" s="106"/>
    </row>
    <row r="68" spans="1:18" ht="25.5">
      <c r="A68" s="112"/>
      <c r="B68" s="134" t="s">
        <v>100</v>
      </c>
      <c r="C68" s="114" t="s">
        <v>0</v>
      </c>
      <c r="D68" s="112"/>
      <c r="E68" s="120">
        <f>""</f>
      </c>
      <c r="F68" s="123">
        <f>E16</f>
      </c>
      <c r="G68" s="123">
        <f aca="true" t="shared" si="43" ref="G68:N68">F16</f>
      </c>
      <c r="H68" s="123">
        <f t="shared" si="43"/>
      </c>
      <c r="I68" s="123">
        <f t="shared" si="43"/>
      </c>
      <c r="J68" s="123">
        <f t="shared" si="43"/>
      </c>
      <c r="K68" s="123">
        <f t="shared" si="43"/>
      </c>
      <c r="L68" s="123">
        <f t="shared" si="43"/>
      </c>
      <c r="M68" s="123">
        <f t="shared" si="43"/>
      </c>
      <c r="N68" s="123">
        <f t="shared" si="43"/>
      </c>
      <c r="O68" s="112"/>
      <c r="P68" s="106"/>
      <c r="Q68" s="106"/>
      <c r="R68" s="106"/>
    </row>
    <row r="69" spans="1:18" ht="12.75">
      <c r="A69" s="112"/>
      <c r="B69" s="112"/>
      <c r="C69" s="115" t="s">
        <v>1</v>
      </c>
      <c r="D69" s="112"/>
      <c r="E69" s="120">
        <f>""</f>
      </c>
      <c r="F69" s="121">
        <f>IF(F30=1,F7/100,"")</f>
      </c>
      <c r="G69" s="121">
        <f aca="true" t="shared" si="44" ref="G69:N69">IF(G30=1,G7/100,"")</f>
      </c>
      <c r="H69" s="121">
        <f t="shared" si="44"/>
      </c>
      <c r="I69" s="121">
        <f t="shared" si="44"/>
      </c>
      <c r="J69" s="121">
        <f t="shared" si="44"/>
      </c>
      <c r="K69" s="121">
        <f t="shared" si="44"/>
      </c>
      <c r="L69" s="121">
        <f t="shared" si="44"/>
      </c>
      <c r="M69" s="121">
        <f t="shared" si="44"/>
      </c>
      <c r="N69" s="121">
        <f t="shared" si="44"/>
      </c>
      <c r="O69" s="112"/>
      <c r="P69" s="106"/>
      <c r="Q69" s="106"/>
      <c r="R69" s="106"/>
    </row>
    <row r="70" spans="1:18" ht="12.75">
      <c r="A70" s="112"/>
      <c r="B70" s="112"/>
      <c r="C70" s="114" t="s">
        <v>2</v>
      </c>
      <c r="D70" s="112"/>
      <c r="E70" s="120">
        <f>""</f>
      </c>
      <c r="F70" s="121">
        <f>IF(F31=1,F8,"")</f>
      </c>
      <c r="G70" s="121">
        <f aca="true" t="shared" si="45" ref="G70:N70">IF(G31=1,G8,"")</f>
      </c>
      <c r="H70" s="121">
        <f t="shared" si="45"/>
      </c>
      <c r="I70" s="121">
        <f t="shared" si="45"/>
      </c>
      <c r="J70" s="121">
        <f t="shared" si="45"/>
      </c>
      <c r="K70" s="121">
        <f t="shared" si="45"/>
      </c>
      <c r="L70" s="121">
        <f t="shared" si="45"/>
      </c>
      <c r="M70" s="121">
        <f t="shared" si="45"/>
      </c>
      <c r="N70" s="121">
        <f t="shared" si="45"/>
      </c>
      <c r="O70" s="112"/>
      <c r="P70" s="106"/>
      <c r="Q70" s="106"/>
      <c r="R70" s="106"/>
    </row>
    <row r="71" spans="1:18" ht="12.75">
      <c r="A71" s="112"/>
      <c r="B71" s="112"/>
      <c r="C71" s="114" t="s">
        <v>3</v>
      </c>
      <c r="D71" s="112"/>
      <c r="E71" s="120">
        <f>""</f>
      </c>
      <c r="F71" s="121">
        <f>""</f>
      </c>
      <c r="G71" s="121">
        <f>""</f>
      </c>
      <c r="H71" s="121">
        <f>""</f>
      </c>
      <c r="I71" s="121">
        <f>""</f>
      </c>
      <c r="J71" s="121">
        <f>""</f>
      </c>
      <c r="K71" s="121">
        <f>""</f>
      </c>
      <c r="L71" s="121">
        <f>""</f>
      </c>
      <c r="M71" s="121">
        <f>""</f>
      </c>
      <c r="N71" s="121">
        <f>""</f>
      </c>
      <c r="O71" s="112"/>
      <c r="P71" s="106"/>
      <c r="Q71" s="106"/>
      <c r="R71" s="106"/>
    </row>
    <row r="72" spans="1:18" ht="12.75">
      <c r="A72" s="112"/>
      <c r="B72" s="112" t="s">
        <v>107</v>
      </c>
      <c r="C72" s="112" t="s">
        <v>36</v>
      </c>
      <c r="D72" s="112"/>
      <c r="E72" s="119" t="b">
        <f>TRUE</f>
        <v>1</v>
      </c>
      <c r="F72" s="119" t="b">
        <f>OR(F29=1,(F30+F31)=2,F32=1,F33=1)</f>
        <v>0</v>
      </c>
      <c r="G72" s="119" t="b">
        <f aca="true" t="shared" si="46" ref="G72:N72">OR(G29=1,(G30+G31)=2,G32=1,G33=1)</f>
        <v>0</v>
      </c>
      <c r="H72" s="119" t="b">
        <f t="shared" si="46"/>
        <v>0</v>
      </c>
      <c r="I72" s="119" t="b">
        <f t="shared" si="46"/>
        <v>0</v>
      </c>
      <c r="J72" s="119" t="b">
        <f t="shared" si="46"/>
        <v>0</v>
      </c>
      <c r="K72" s="119" t="b">
        <f t="shared" si="46"/>
        <v>0</v>
      </c>
      <c r="L72" s="119" t="b">
        <f t="shared" si="46"/>
        <v>0</v>
      </c>
      <c r="M72" s="119" t="b">
        <f t="shared" si="46"/>
        <v>0</v>
      </c>
      <c r="N72" s="119" t="b">
        <f t="shared" si="46"/>
        <v>0</v>
      </c>
      <c r="O72" s="112"/>
      <c r="P72" s="106"/>
      <c r="Q72" s="106"/>
      <c r="R72" s="106"/>
    </row>
    <row r="73" spans="1:18" ht="12.75">
      <c r="A73" s="112"/>
      <c r="B73" s="112" t="s">
        <v>47</v>
      </c>
      <c r="C73" s="112" t="s">
        <v>36</v>
      </c>
      <c r="D73" s="112"/>
      <c r="E73" s="119" t="b">
        <f>FALSE</f>
        <v>0</v>
      </c>
      <c r="F73" s="119" t="b">
        <f>(F30+F31)=0</f>
        <v>1</v>
      </c>
      <c r="G73" s="119" t="b">
        <f aca="true" t="shared" si="47" ref="G73:N73">(G30+G31)=0</f>
        <v>1</v>
      </c>
      <c r="H73" s="119" t="b">
        <f t="shared" si="47"/>
        <v>1</v>
      </c>
      <c r="I73" s="119" t="b">
        <f t="shared" si="47"/>
        <v>1</v>
      </c>
      <c r="J73" s="119" t="b">
        <f t="shared" si="47"/>
        <v>1</v>
      </c>
      <c r="K73" s="119" t="b">
        <f t="shared" si="47"/>
        <v>1</v>
      </c>
      <c r="L73" s="119" t="b">
        <f t="shared" si="47"/>
        <v>1</v>
      </c>
      <c r="M73" s="119" t="b">
        <f t="shared" si="47"/>
        <v>1</v>
      </c>
      <c r="N73" s="119" t="b">
        <f t="shared" si="47"/>
        <v>1</v>
      </c>
      <c r="O73" s="112"/>
      <c r="P73" s="106"/>
      <c r="Q73" s="106"/>
      <c r="R73" s="106"/>
    </row>
    <row r="74" spans="1:18" ht="12.75">
      <c r="A74" s="112"/>
      <c r="B74" s="112" t="s">
        <v>36</v>
      </c>
      <c r="C74" s="112" t="s">
        <v>36</v>
      </c>
      <c r="D74" s="112"/>
      <c r="E74" s="119" t="b">
        <f>FALSE</f>
        <v>0</v>
      </c>
      <c r="F74" s="119" t="b">
        <f>FALSE</f>
        <v>0</v>
      </c>
      <c r="G74" s="119" t="b">
        <f>FALSE</f>
        <v>0</v>
      </c>
      <c r="H74" s="119" t="b">
        <f>FALSE</f>
        <v>0</v>
      </c>
      <c r="I74" s="119" t="b">
        <f>FALSE</f>
        <v>0</v>
      </c>
      <c r="J74" s="119" t="b">
        <f>FALSE</f>
        <v>0</v>
      </c>
      <c r="K74" s="119" t="b">
        <f>FALSE</f>
        <v>0</v>
      </c>
      <c r="L74" s="119" t="b">
        <f>FALSE</f>
        <v>0</v>
      </c>
      <c r="M74" s="119" t="b">
        <f>FALSE</f>
        <v>0</v>
      </c>
      <c r="N74" s="119" t="b">
        <f>FALSE</f>
        <v>0</v>
      </c>
      <c r="O74" s="112"/>
      <c r="P74" s="106"/>
      <c r="Q74" s="106"/>
      <c r="R74" s="106"/>
    </row>
    <row r="75" spans="1:18" ht="12.75">
      <c r="A75" s="112"/>
      <c r="B75" s="112"/>
      <c r="C75" s="112"/>
      <c r="D75" s="112"/>
      <c r="E75" s="120"/>
      <c r="F75" s="121"/>
      <c r="G75" s="121"/>
      <c r="H75" s="121"/>
      <c r="I75" s="121"/>
      <c r="J75" s="121"/>
      <c r="K75" s="121"/>
      <c r="L75" s="121"/>
      <c r="M75" s="121"/>
      <c r="N75" s="121"/>
      <c r="O75" s="112"/>
      <c r="P75" s="106"/>
      <c r="Q75" s="106"/>
      <c r="R75" s="106"/>
    </row>
    <row r="76" spans="1:18" ht="25.5">
      <c r="A76" s="112"/>
      <c r="B76" s="134" t="s">
        <v>101</v>
      </c>
      <c r="C76" s="114" t="s">
        <v>0</v>
      </c>
      <c r="D76" s="112"/>
      <c r="E76" s="120">
        <f>""</f>
      </c>
      <c r="F76" s="120">
        <f>""</f>
      </c>
      <c r="G76" s="121">
        <f>""</f>
      </c>
      <c r="H76" s="121">
        <f>""</f>
      </c>
      <c r="I76" s="121">
        <f>""</f>
      </c>
      <c r="J76" s="121">
        <f>""</f>
      </c>
      <c r="K76" s="121">
        <f>""</f>
      </c>
      <c r="L76" s="121">
        <f>""</f>
      </c>
      <c r="M76" s="121">
        <f>""</f>
      </c>
      <c r="N76" s="121">
        <f>""</f>
      </c>
      <c r="O76" s="112"/>
      <c r="P76" s="106"/>
      <c r="Q76" s="106"/>
      <c r="R76" s="106"/>
    </row>
    <row r="77" spans="1:18" ht="12.75">
      <c r="A77" s="112"/>
      <c r="B77" s="112"/>
      <c r="C77" s="115" t="s">
        <v>1</v>
      </c>
      <c r="D77" s="112"/>
      <c r="E77" s="120">
        <f>""</f>
      </c>
      <c r="F77" s="120">
        <f>""</f>
      </c>
      <c r="G77" s="121">
        <f>""</f>
      </c>
      <c r="H77" s="121">
        <f>""</f>
      </c>
      <c r="I77" s="121">
        <f>""</f>
      </c>
      <c r="J77" s="121">
        <f>""</f>
      </c>
      <c r="K77" s="121">
        <f>""</f>
      </c>
      <c r="L77" s="121">
        <f>""</f>
      </c>
      <c r="M77" s="121">
        <f>""</f>
      </c>
      <c r="N77" s="121">
        <f>""</f>
      </c>
      <c r="O77" s="112"/>
      <c r="P77" s="106"/>
      <c r="Q77" s="106"/>
      <c r="R77" s="106"/>
    </row>
    <row r="78" spans="1:18" ht="12.75">
      <c r="A78" s="112"/>
      <c r="B78" s="112"/>
      <c r="C78" s="114" t="s">
        <v>2</v>
      </c>
      <c r="D78" s="112"/>
      <c r="E78" s="120">
        <f>""</f>
      </c>
      <c r="F78" s="120">
        <f>""</f>
      </c>
      <c r="G78" s="124" t="e">
        <f>(E18*E35+F35*F18)/(E35+F35)</f>
        <v>#VALUE!</v>
      </c>
      <c r="H78" s="124" t="e">
        <f aca="true" t="shared" si="48" ref="H78:N78">(F18*F35+G35*G18)/(F35+G35)</f>
        <v>#VALUE!</v>
      </c>
      <c r="I78" s="124" t="e">
        <f t="shared" si="48"/>
        <v>#VALUE!</v>
      </c>
      <c r="J78" s="124" t="e">
        <f t="shared" si="48"/>
        <v>#VALUE!</v>
      </c>
      <c r="K78" s="124" t="e">
        <f t="shared" si="48"/>
        <v>#VALUE!</v>
      </c>
      <c r="L78" s="124" t="e">
        <f t="shared" si="48"/>
        <v>#VALUE!</v>
      </c>
      <c r="M78" s="124" t="e">
        <f t="shared" si="48"/>
        <v>#VALUE!</v>
      </c>
      <c r="N78" s="124" t="e">
        <f t="shared" si="48"/>
        <v>#VALUE!</v>
      </c>
      <c r="O78" s="112"/>
      <c r="P78" s="106"/>
      <c r="Q78" s="106"/>
      <c r="R78" s="106"/>
    </row>
    <row r="79" spans="1:18" ht="12.75">
      <c r="A79" s="112"/>
      <c r="B79" s="112"/>
      <c r="C79" s="114" t="s">
        <v>3</v>
      </c>
      <c r="D79" s="112"/>
      <c r="E79" s="120">
        <f>""</f>
      </c>
      <c r="F79" s="120">
        <f>""</f>
      </c>
      <c r="G79" s="124" t="e">
        <f>(E19*E35+F35*F19)/(E35+F35)</f>
        <v>#VALUE!</v>
      </c>
      <c r="H79" s="124" t="e">
        <f aca="true" t="shared" si="49" ref="H79:N79">(F19*F35+G35*G19)/(F35+G35)</f>
        <v>#VALUE!</v>
      </c>
      <c r="I79" s="124" t="e">
        <f t="shared" si="49"/>
        <v>#VALUE!</v>
      </c>
      <c r="J79" s="124" t="e">
        <f t="shared" si="49"/>
        <v>#VALUE!</v>
      </c>
      <c r="K79" s="124" t="e">
        <f t="shared" si="49"/>
        <v>#VALUE!</v>
      </c>
      <c r="L79" s="124" t="e">
        <f t="shared" si="49"/>
        <v>#VALUE!</v>
      </c>
      <c r="M79" s="124" t="e">
        <f t="shared" si="49"/>
        <v>#VALUE!</v>
      </c>
      <c r="N79" s="124" t="e">
        <f t="shared" si="49"/>
        <v>#VALUE!</v>
      </c>
      <c r="O79" s="112"/>
      <c r="P79" s="106"/>
      <c r="Q79" s="106"/>
      <c r="R79" s="106"/>
    </row>
    <row r="80" spans="1:18" ht="12.75">
      <c r="A80" s="112"/>
      <c r="B80" s="112" t="s">
        <v>107</v>
      </c>
      <c r="C80" s="112" t="s">
        <v>36</v>
      </c>
      <c r="D80" s="112"/>
      <c r="E80" s="119" t="b">
        <f>TRUE</f>
        <v>1</v>
      </c>
      <c r="F80" s="119" t="b">
        <f>TRUE</f>
        <v>1</v>
      </c>
      <c r="G80" s="124" t="b">
        <f>(G34+G33)&gt;=1</f>
        <v>0</v>
      </c>
      <c r="H80" s="124" t="b">
        <f aca="true" t="shared" si="50" ref="H80:N80">(H34+H33)&gt;=1</f>
        <v>0</v>
      </c>
      <c r="I80" s="124" t="b">
        <f t="shared" si="50"/>
        <v>0</v>
      </c>
      <c r="J80" s="124" t="b">
        <f t="shared" si="50"/>
        <v>0</v>
      </c>
      <c r="K80" s="124" t="b">
        <f t="shared" si="50"/>
        <v>0</v>
      </c>
      <c r="L80" s="124" t="b">
        <f t="shared" si="50"/>
        <v>0</v>
      </c>
      <c r="M80" s="124" t="b">
        <f t="shared" si="50"/>
        <v>0</v>
      </c>
      <c r="N80" s="124" t="b">
        <f t="shared" si="50"/>
        <v>0</v>
      </c>
      <c r="O80" s="112"/>
      <c r="P80" s="106"/>
      <c r="Q80" s="106"/>
      <c r="R80" s="106"/>
    </row>
    <row r="81" spans="1:18" ht="12.75">
      <c r="A81" s="112"/>
      <c r="B81" s="112" t="s">
        <v>47</v>
      </c>
      <c r="C81" s="112" t="s">
        <v>36</v>
      </c>
      <c r="D81" s="112"/>
      <c r="E81" s="119" t="b">
        <f>FALSE</f>
        <v>0</v>
      </c>
      <c r="F81" s="119" t="b">
        <f>FALSE</f>
        <v>0</v>
      </c>
      <c r="G81" s="119" t="b">
        <f>FALSE</f>
        <v>0</v>
      </c>
      <c r="H81" s="119" t="b">
        <f>FALSE</f>
        <v>0</v>
      </c>
      <c r="I81" s="119" t="b">
        <f>FALSE</f>
        <v>0</v>
      </c>
      <c r="J81" s="119" t="b">
        <f>FALSE</f>
        <v>0</v>
      </c>
      <c r="K81" s="119" t="b">
        <f>FALSE</f>
        <v>0</v>
      </c>
      <c r="L81" s="119" t="b">
        <f>FALSE</f>
        <v>0</v>
      </c>
      <c r="M81" s="119" t="b">
        <f>FALSE</f>
        <v>0</v>
      </c>
      <c r="N81" s="119" t="b">
        <f>FALSE</f>
        <v>0</v>
      </c>
      <c r="O81" s="112"/>
      <c r="P81" s="106"/>
      <c r="Q81" s="106"/>
      <c r="R81" s="106"/>
    </row>
    <row r="82" spans="1:18" ht="12.75">
      <c r="A82" s="112"/>
      <c r="B82" s="112" t="s">
        <v>36</v>
      </c>
      <c r="C82" s="112" t="s">
        <v>36</v>
      </c>
      <c r="D82" s="112"/>
      <c r="E82" s="119" t="b">
        <f>FALSE</f>
        <v>0</v>
      </c>
      <c r="F82" s="119" t="b">
        <f>FALSE</f>
        <v>0</v>
      </c>
      <c r="G82" s="119" t="b">
        <f>FALSE</f>
        <v>0</v>
      </c>
      <c r="H82" s="119" t="b">
        <f>FALSE</f>
        <v>0</v>
      </c>
      <c r="I82" s="119" t="b">
        <f>FALSE</f>
        <v>0</v>
      </c>
      <c r="J82" s="119" t="b">
        <f>FALSE</f>
        <v>0</v>
      </c>
      <c r="K82" s="119" t="b">
        <f>FALSE</f>
        <v>0</v>
      </c>
      <c r="L82" s="119" t="b">
        <f>FALSE</f>
        <v>0</v>
      </c>
      <c r="M82" s="119" t="b">
        <f>FALSE</f>
        <v>0</v>
      </c>
      <c r="N82" s="119" t="b">
        <f>FALSE</f>
        <v>0</v>
      </c>
      <c r="O82" s="112"/>
      <c r="P82" s="106"/>
      <c r="Q82" s="106"/>
      <c r="R82" s="106"/>
    </row>
    <row r="83" spans="1:18" ht="12.75">
      <c r="A83" s="112"/>
      <c r="B83" s="112"/>
      <c r="C83" s="112"/>
      <c r="D83" s="112"/>
      <c r="E83" s="120"/>
      <c r="F83" s="121"/>
      <c r="G83" s="121"/>
      <c r="H83" s="121"/>
      <c r="I83" s="121"/>
      <c r="J83" s="121"/>
      <c r="K83" s="121"/>
      <c r="L83" s="121"/>
      <c r="M83" s="121"/>
      <c r="N83" s="121"/>
      <c r="O83" s="112"/>
      <c r="P83" s="106"/>
      <c r="Q83" s="106"/>
      <c r="R83" s="106"/>
    </row>
    <row r="84" spans="1:18" ht="25.5">
      <c r="A84" s="112"/>
      <c r="B84" s="134" t="s">
        <v>102</v>
      </c>
      <c r="C84" s="114" t="s">
        <v>0</v>
      </c>
      <c r="D84" s="112"/>
      <c r="E84" s="112">
        <f>IF(E29=1,E6,"")</f>
      </c>
      <c r="F84" s="112">
        <f aca="true" t="shared" si="51" ref="F84:N84">IF(F29=1,F6,"")</f>
      </c>
      <c r="G84" s="112">
        <f t="shared" si="51"/>
      </c>
      <c r="H84" s="112">
        <f t="shared" si="51"/>
      </c>
      <c r="I84" s="112">
        <f t="shared" si="51"/>
      </c>
      <c r="J84" s="112">
        <f t="shared" si="51"/>
      </c>
      <c r="K84" s="112">
        <f t="shared" si="51"/>
      </c>
      <c r="L84" s="112">
        <f t="shared" si="51"/>
      </c>
      <c r="M84" s="112">
        <f t="shared" si="51"/>
      </c>
      <c r="N84" s="112">
        <f t="shared" si="51"/>
      </c>
      <c r="O84" s="112"/>
      <c r="P84" s="106"/>
      <c r="Q84" s="106"/>
      <c r="R84" s="106"/>
    </row>
    <row r="85" spans="1:18" ht="12.75">
      <c r="A85" s="112"/>
      <c r="B85" s="112"/>
      <c r="C85" s="115" t="s">
        <v>1</v>
      </c>
      <c r="D85" s="112"/>
      <c r="E85" s="112">
        <f>IF(E30=1,E7/100,"")</f>
      </c>
      <c r="F85" s="112">
        <f aca="true" t="shared" si="52" ref="F85:N85">IF(F30=1,F7/100,"")</f>
      </c>
      <c r="G85" s="112">
        <f t="shared" si="52"/>
      </c>
      <c r="H85" s="112">
        <f t="shared" si="52"/>
      </c>
      <c r="I85" s="112">
        <f t="shared" si="52"/>
      </c>
      <c r="J85" s="112">
        <f t="shared" si="52"/>
      </c>
      <c r="K85" s="112">
        <f t="shared" si="52"/>
      </c>
      <c r="L85" s="112">
        <f t="shared" si="52"/>
      </c>
      <c r="M85" s="112">
        <f t="shared" si="52"/>
      </c>
      <c r="N85" s="112">
        <f t="shared" si="52"/>
      </c>
      <c r="O85" s="112"/>
      <c r="P85" s="106"/>
      <c r="Q85" s="106"/>
      <c r="R85" s="106"/>
    </row>
    <row r="86" spans="1:18" ht="12.75">
      <c r="A86" s="112"/>
      <c r="B86" s="112"/>
      <c r="C86" s="114" t="s">
        <v>2</v>
      </c>
      <c r="D86" s="112"/>
      <c r="E86" s="112">
        <f>IF(E31=1,E8,"")</f>
      </c>
      <c r="F86" s="112">
        <f aca="true" t="shared" si="53" ref="F86:N86">IF(F31=1,F8,"")</f>
      </c>
      <c r="G86" s="112">
        <f t="shared" si="53"/>
      </c>
      <c r="H86" s="112">
        <f t="shared" si="53"/>
      </c>
      <c r="I86" s="112">
        <f t="shared" si="53"/>
      </c>
      <c r="J86" s="112">
        <f t="shared" si="53"/>
      </c>
      <c r="K86" s="112">
        <f t="shared" si="53"/>
      </c>
      <c r="L86" s="112">
        <f t="shared" si="53"/>
      </c>
      <c r="M86" s="112">
        <f t="shared" si="53"/>
      </c>
      <c r="N86" s="112">
        <f t="shared" si="53"/>
      </c>
      <c r="O86" s="112"/>
      <c r="P86" s="106"/>
      <c r="Q86" s="106"/>
      <c r="R86" s="106"/>
    </row>
    <row r="87" spans="1:18" ht="12.75">
      <c r="A87" s="112"/>
      <c r="B87" s="112"/>
      <c r="C87" s="114" t="s">
        <v>3</v>
      </c>
      <c r="D87" s="112"/>
      <c r="E87" s="112">
        <f>IF(E32=1,E9,"")</f>
      </c>
      <c r="F87" s="112">
        <f aca="true" t="shared" si="54" ref="F87:N87">IF(F32=1,F9,"")</f>
      </c>
      <c r="G87" s="112">
        <f t="shared" si="54"/>
      </c>
      <c r="H87" s="112">
        <f t="shared" si="54"/>
      </c>
      <c r="I87" s="112">
        <f t="shared" si="54"/>
      </c>
      <c r="J87" s="112">
        <f t="shared" si="54"/>
      </c>
      <c r="K87" s="112">
        <f t="shared" si="54"/>
      </c>
      <c r="L87" s="112">
        <f t="shared" si="54"/>
      </c>
      <c r="M87" s="112">
        <f t="shared" si="54"/>
      </c>
      <c r="N87" s="112">
        <f t="shared" si="54"/>
      </c>
      <c r="O87" s="112"/>
      <c r="P87" s="106"/>
      <c r="Q87" s="106"/>
      <c r="R87" s="106"/>
    </row>
    <row r="88" spans="1:18" ht="12.75">
      <c r="A88" s="112"/>
      <c r="B88" s="112" t="s">
        <v>107</v>
      </c>
      <c r="C88" s="112" t="s">
        <v>36</v>
      </c>
      <c r="D88" s="112"/>
      <c r="E88" s="119" t="b">
        <f>TRUE</f>
        <v>1</v>
      </c>
      <c r="F88" s="119" t="b">
        <f aca="true" t="shared" si="55" ref="F88:N88">OR(F34&gt;2,F33=1)</f>
        <v>0</v>
      </c>
      <c r="G88" s="119" t="b">
        <f t="shared" si="55"/>
        <v>0</v>
      </c>
      <c r="H88" s="119" t="b">
        <f t="shared" si="55"/>
        <v>0</v>
      </c>
      <c r="I88" s="119" t="b">
        <f t="shared" si="55"/>
        <v>0</v>
      </c>
      <c r="J88" s="119" t="b">
        <f t="shared" si="55"/>
        <v>0</v>
      </c>
      <c r="K88" s="119" t="b">
        <f t="shared" si="55"/>
        <v>0</v>
      </c>
      <c r="L88" s="119" t="b">
        <f t="shared" si="55"/>
        <v>0</v>
      </c>
      <c r="M88" s="119" t="b">
        <f t="shared" si="55"/>
        <v>0</v>
      </c>
      <c r="N88" s="119" t="b">
        <f t="shared" si="55"/>
        <v>0</v>
      </c>
      <c r="O88" s="112"/>
      <c r="P88" s="106"/>
      <c r="Q88" s="106"/>
      <c r="R88" s="106"/>
    </row>
    <row r="89" spans="1:18" ht="12.75">
      <c r="A89" s="112"/>
      <c r="B89" s="112" t="s">
        <v>47</v>
      </c>
      <c r="C89" s="112" t="s">
        <v>36</v>
      </c>
      <c r="D89" s="112"/>
      <c r="E89" s="119" t="b">
        <f>FALSE</f>
        <v>0</v>
      </c>
      <c r="F89" s="119" t="b">
        <f aca="true" t="shared" si="56" ref="F89:N89">F34=1</f>
        <v>0</v>
      </c>
      <c r="G89" s="119" t="b">
        <f t="shared" si="56"/>
        <v>0</v>
      </c>
      <c r="H89" s="119" t="b">
        <f t="shared" si="56"/>
        <v>0</v>
      </c>
      <c r="I89" s="119" t="b">
        <f t="shared" si="56"/>
        <v>0</v>
      </c>
      <c r="J89" s="119" t="b">
        <f t="shared" si="56"/>
        <v>0</v>
      </c>
      <c r="K89" s="119" t="b">
        <f t="shared" si="56"/>
        <v>0</v>
      </c>
      <c r="L89" s="119" t="b">
        <f t="shared" si="56"/>
        <v>0</v>
      </c>
      <c r="M89" s="119" t="b">
        <f t="shared" si="56"/>
        <v>0</v>
      </c>
      <c r="N89" s="119" t="b">
        <f t="shared" si="56"/>
        <v>0</v>
      </c>
      <c r="O89" s="112"/>
      <c r="P89" s="106"/>
      <c r="Q89" s="106"/>
      <c r="R89" s="106"/>
    </row>
    <row r="90" spans="1:18" ht="12.75">
      <c r="A90" s="112"/>
      <c r="B90" s="112" t="s">
        <v>36</v>
      </c>
      <c r="C90" s="112" t="s">
        <v>36</v>
      </c>
      <c r="D90" s="112"/>
      <c r="E90" s="119" t="b">
        <f>FALSE</f>
        <v>0</v>
      </c>
      <c r="F90" s="119" t="b">
        <f aca="true" t="shared" si="57" ref="F90:N90">F34=0</f>
        <v>1</v>
      </c>
      <c r="G90" s="119" t="b">
        <f t="shared" si="57"/>
        <v>1</v>
      </c>
      <c r="H90" s="119" t="b">
        <f t="shared" si="57"/>
        <v>1</v>
      </c>
      <c r="I90" s="119" t="b">
        <f t="shared" si="57"/>
        <v>1</v>
      </c>
      <c r="J90" s="119" t="b">
        <f t="shared" si="57"/>
        <v>1</v>
      </c>
      <c r="K90" s="119" t="b">
        <f t="shared" si="57"/>
        <v>1</v>
      </c>
      <c r="L90" s="119" t="b">
        <f t="shared" si="57"/>
        <v>1</v>
      </c>
      <c r="M90" s="119" t="b">
        <f t="shared" si="57"/>
        <v>1</v>
      </c>
      <c r="N90" s="119" t="b">
        <f t="shared" si="57"/>
        <v>1</v>
      </c>
      <c r="O90" s="112"/>
      <c r="P90" s="106"/>
      <c r="Q90" s="106"/>
      <c r="R90" s="106"/>
    </row>
    <row r="91" spans="1:18" ht="12.75">
      <c r="A91" s="112"/>
      <c r="B91" s="112"/>
      <c r="C91" s="112"/>
      <c r="D91" s="112"/>
      <c r="E91" s="120"/>
      <c r="F91" s="121"/>
      <c r="G91" s="121"/>
      <c r="H91" s="121"/>
      <c r="I91" s="121"/>
      <c r="J91" s="121"/>
      <c r="K91" s="121"/>
      <c r="L91" s="121"/>
      <c r="M91" s="121"/>
      <c r="N91" s="121"/>
      <c r="O91" s="112"/>
      <c r="P91" s="106"/>
      <c r="Q91" s="106"/>
      <c r="R91" s="106"/>
    </row>
    <row r="92" spans="1:18" ht="25.5">
      <c r="A92" s="112"/>
      <c r="B92" s="136" t="s">
        <v>108</v>
      </c>
      <c r="C92" s="114" t="s">
        <v>0</v>
      </c>
      <c r="D92" s="112"/>
      <c r="E92" s="121">
        <f>IF(E28&gt;6,"",CHOOSE(E28+1,E36,E44,E52,E60,E68,E76,E84))</f>
      </c>
      <c r="F92" s="121">
        <f aca="true" t="shared" si="58" ref="F92:N92">IF(F28&gt;6,"",CHOOSE(F28+1,F36,F44,F52,F60,F68,F76,F84))</f>
      </c>
      <c r="G92" s="121">
        <f t="shared" si="58"/>
      </c>
      <c r="H92" s="121">
        <f t="shared" si="58"/>
      </c>
      <c r="I92" s="121">
        <f t="shared" si="58"/>
      </c>
      <c r="J92" s="121">
        <f t="shared" si="58"/>
      </c>
      <c r="K92" s="121">
        <f t="shared" si="58"/>
      </c>
      <c r="L92" s="121">
        <f t="shared" si="58"/>
      </c>
      <c r="M92" s="121">
        <f t="shared" si="58"/>
      </c>
      <c r="N92" s="121">
        <f t="shared" si="58"/>
      </c>
      <c r="O92" s="112"/>
      <c r="P92" s="106"/>
      <c r="Q92" s="106"/>
      <c r="R92" s="106"/>
    </row>
    <row r="93" spans="1:18" ht="12.75">
      <c r="A93" s="112"/>
      <c r="B93" s="112"/>
      <c r="C93" s="115" t="s">
        <v>1</v>
      </c>
      <c r="D93" s="112"/>
      <c r="E93" s="121">
        <f>IF(E28&gt;6,"",CHOOSE(E28+1,E37,E45,E53,E61,E69,E77,E85))</f>
      </c>
      <c r="F93" s="121">
        <f aca="true" t="shared" si="59" ref="F93:N93">IF(F28&gt;6,"",CHOOSE(F28+1,F37,F45,F53,F61,F69,F77,F85))</f>
      </c>
      <c r="G93" s="121">
        <f t="shared" si="59"/>
      </c>
      <c r="H93" s="121">
        <f t="shared" si="59"/>
      </c>
      <c r="I93" s="121">
        <f t="shared" si="59"/>
      </c>
      <c r="J93" s="121">
        <f t="shared" si="59"/>
      </c>
      <c r="K93" s="121">
        <f t="shared" si="59"/>
      </c>
      <c r="L93" s="121">
        <f t="shared" si="59"/>
      </c>
      <c r="M93" s="121">
        <f t="shared" si="59"/>
      </c>
      <c r="N93" s="121">
        <f t="shared" si="59"/>
      </c>
      <c r="O93" s="112"/>
      <c r="P93" s="106"/>
      <c r="Q93" s="106"/>
      <c r="R93" s="106"/>
    </row>
    <row r="94" spans="1:18" ht="12.75">
      <c r="A94" s="112"/>
      <c r="B94" s="112"/>
      <c r="C94" s="114" t="s">
        <v>2</v>
      </c>
      <c r="D94" s="112"/>
      <c r="E94" s="121">
        <f>IF(E28&gt;6,"",CHOOSE(E28+1,E38,E46,E54,E62,E70,E78,E86))</f>
      </c>
      <c r="F94" s="121">
        <f aca="true" t="shared" si="60" ref="F94:N94">IF(F28&gt;6,"",CHOOSE(F28+1,F38,F46,F54,F62,F70,F78,F86))</f>
      </c>
      <c r="G94" s="121">
        <f t="shared" si="60"/>
      </c>
      <c r="H94" s="121">
        <f t="shared" si="60"/>
      </c>
      <c r="I94" s="121">
        <f t="shared" si="60"/>
      </c>
      <c r="J94" s="121">
        <f t="shared" si="60"/>
      </c>
      <c r="K94" s="121">
        <f t="shared" si="60"/>
      </c>
      <c r="L94" s="121">
        <f t="shared" si="60"/>
      </c>
      <c r="M94" s="121">
        <f t="shared" si="60"/>
      </c>
      <c r="N94" s="121">
        <f t="shared" si="60"/>
      </c>
      <c r="O94" s="112"/>
      <c r="P94" s="106"/>
      <c r="Q94" s="106"/>
      <c r="R94" s="106"/>
    </row>
    <row r="95" spans="1:18" ht="12.75">
      <c r="A95" s="112"/>
      <c r="B95" s="112"/>
      <c r="C95" s="114" t="s">
        <v>3</v>
      </c>
      <c r="D95" s="112"/>
      <c r="E95" s="121">
        <f>IF(E28&gt;6,"",CHOOSE(E28+1,E39,E47,E55,E63,E71,E79,E87))</f>
      </c>
      <c r="F95" s="121">
        <f aca="true" t="shared" si="61" ref="F95:N95">IF(F28&gt;6,"",CHOOSE(F28+1,F39,F47,F55,F63,F71,F79,F87))</f>
      </c>
      <c r="G95" s="121">
        <f t="shared" si="61"/>
      </c>
      <c r="H95" s="121">
        <f t="shared" si="61"/>
      </c>
      <c r="I95" s="121">
        <f t="shared" si="61"/>
      </c>
      <c r="J95" s="121">
        <f t="shared" si="61"/>
      </c>
      <c r="K95" s="121">
        <f t="shared" si="61"/>
      </c>
      <c r="L95" s="121">
        <f t="shared" si="61"/>
      </c>
      <c r="M95" s="121">
        <f t="shared" si="61"/>
      </c>
      <c r="N95" s="121">
        <f t="shared" si="61"/>
      </c>
      <c r="O95" s="112"/>
      <c r="P95" s="106"/>
      <c r="Q95" s="106"/>
      <c r="R95" s="106"/>
    </row>
    <row r="96" spans="1:18" ht="12.75">
      <c r="A96" s="112"/>
      <c r="B96" s="112" t="s">
        <v>107</v>
      </c>
      <c r="C96" s="112" t="s">
        <v>36</v>
      </c>
      <c r="D96" s="112"/>
      <c r="E96" s="124" t="b">
        <f>IF(OR(E28&gt;6,AND(E11&lt;&gt;"",E12&lt;&gt;"")),TRUE,CHOOSE(E28+1,E40,E48,E56,E64,E72,E80,E88))</f>
        <v>0</v>
      </c>
      <c r="F96" s="124" t="b">
        <f aca="true" t="shared" si="62" ref="F96:N96">IF(OR(F28&gt;6,AND(F11&lt;&gt;"",F12&lt;&gt;"")),TRUE,CHOOSE(F28+1,F40,F48,F56,F64,F72,F80,F88))</f>
        <v>0</v>
      </c>
      <c r="G96" s="124" t="b">
        <f t="shared" si="62"/>
        <v>0</v>
      </c>
      <c r="H96" s="124" t="b">
        <f t="shared" si="62"/>
        <v>0</v>
      </c>
      <c r="I96" s="124" t="b">
        <f t="shared" si="62"/>
        <v>0</v>
      </c>
      <c r="J96" s="124" t="b">
        <f t="shared" si="62"/>
        <v>0</v>
      </c>
      <c r="K96" s="124" t="b">
        <f t="shared" si="62"/>
        <v>0</v>
      </c>
      <c r="L96" s="124" t="b">
        <f t="shared" si="62"/>
        <v>0</v>
      </c>
      <c r="M96" s="124" t="b">
        <f t="shared" si="62"/>
        <v>0</v>
      </c>
      <c r="N96" s="124" t="b">
        <f t="shared" si="62"/>
        <v>0</v>
      </c>
      <c r="O96" s="112"/>
      <c r="P96" s="106"/>
      <c r="Q96" s="106"/>
      <c r="R96" s="106"/>
    </row>
    <row r="97" spans="1:18" ht="12.75">
      <c r="A97" s="112"/>
      <c r="B97" s="112" t="s">
        <v>47</v>
      </c>
      <c r="C97" s="112" t="s">
        <v>36</v>
      </c>
      <c r="D97" s="112"/>
      <c r="E97" s="124" t="b">
        <f>IF(E28&gt;6,TRUE,CHOOSE(E28+1,E41,E49,E57,E65,E73,E81,E89))</f>
        <v>0</v>
      </c>
      <c r="F97" s="124" t="b">
        <f aca="true" t="shared" si="63" ref="F97:N97">IF(F28&gt;6,TRUE,CHOOSE(F28+1,F41,F49,F57,F65,F73,F81,F89))</f>
        <v>0</v>
      </c>
      <c r="G97" s="124" t="b">
        <f t="shared" si="63"/>
        <v>0</v>
      </c>
      <c r="H97" s="124" t="b">
        <f t="shared" si="63"/>
        <v>0</v>
      </c>
      <c r="I97" s="124" t="b">
        <f t="shared" si="63"/>
        <v>0</v>
      </c>
      <c r="J97" s="124" t="b">
        <f t="shared" si="63"/>
        <v>0</v>
      </c>
      <c r="K97" s="124" t="b">
        <f t="shared" si="63"/>
        <v>0</v>
      </c>
      <c r="L97" s="124" t="b">
        <f t="shared" si="63"/>
        <v>0</v>
      </c>
      <c r="M97" s="124" t="b">
        <f t="shared" si="63"/>
        <v>0</v>
      </c>
      <c r="N97" s="124" t="b">
        <f t="shared" si="63"/>
        <v>0</v>
      </c>
      <c r="O97" s="112"/>
      <c r="P97" s="106"/>
      <c r="Q97" s="106"/>
      <c r="R97" s="106"/>
    </row>
    <row r="98" spans="1:18" ht="12.75">
      <c r="A98" s="112"/>
      <c r="B98" s="112" t="s">
        <v>36</v>
      </c>
      <c r="C98" s="112" t="s">
        <v>36</v>
      </c>
      <c r="D98" s="112"/>
      <c r="E98" s="124" t="b">
        <f>IF(E28&gt;6,TRUE,CHOOSE(E28+1,E42,E50,E58,E66,E74,E82,E90))</f>
        <v>1</v>
      </c>
      <c r="F98" s="124" t="b">
        <f aca="true" t="shared" si="64" ref="F98:N98">IF(F28&gt;6,TRUE,CHOOSE(F28+1,F42,F50,F58,F66,F74,F82,F90))</f>
        <v>1</v>
      </c>
      <c r="G98" s="124" t="b">
        <f t="shared" si="64"/>
        <v>1</v>
      </c>
      <c r="H98" s="124" t="b">
        <f t="shared" si="64"/>
        <v>1</v>
      </c>
      <c r="I98" s="124" t="b">
        <f t="shared" si="64"/>
        <v>1</v>
      </c>
      <c r="J98" s="124" t="b">
        <f t="shared" si="64"/>
        <v>1</v>
      </c>
      <c r="K98" s="124" t="b">
        <f t="shared" si="64"/>
        <v>1</v>
      </c>
      <c r="L98" s="124" t="b">
        <f t="shared" si="64"/>
        <v>1</v>
      </c>
      <c r="M98" s="124" t="b">
        <f t="shared" si="64"/>
        <v>1</v>
      </c>
      <c r="N98" s="124" t="b">
        <f t="shared" si="64"/>
        <v>1</v>
      </c>
      <c r="O98" s="112"/>
      <c r="P98" s="106"/>
      <c r="Q98" s="106"/>
      <c r="R98" s="106"/>
    </row>
    <row r="99" spans="1:18" ht="12.7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06"/>
      <c r="Q99" s="106"/>
      <c r="R99" s="106"/>
    </row>
    <row r="100" spans="1:18" ht="12.75">
      <c r="A100" s="112"/>
      <c r="B100" s="125" t="s">
        <v>116</v>
      </c>
      <c r="C100" s="117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06"/>
      <c r="Q100" s="106"/>
      <c r="R100" s="106"/>
    </row>
    <row r="101" spans="1:18" ht="12.75">
      <c r="A101" s="112"/>
      <c r="B101" s="112"/>
      <c r="C101" s="117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06"/>
      <c r="Q101" s="106"/>
      <c r="R101" s="106"/>
    </row>
    <row r="102" spans="1:18" ht="12.75">
      <c r="A102" s="112"/>
      <c r="B102" s="118" t="s">
        <v>110</v>
      </c>
      <c r="C102" s="117" t="s">
        <v>0</v>
      </c>
      <c r="D102" s="112"/>
      <c r="E102" s="112">
        <f>IF(AND(E$92&lt;&gt;"",E$94&lt;&gt;""),E$92,0)</f>
        <v>0</v>
      </c>
      <c r="F102" s="112">
        <f aca="true" t="shared" si="65" ref="F102:N102">IF(AND(F$92&lt;&gt;"",F$94&lt;&gt;""),F$92,0)</f>
        <v>0</v>
      </c>
      <c r="G102" s="112">
        <f t="shared" si="65"/>
        <v>0</v>
      </c>
      <c r="H102" s="112">
        <f t="shared" si="65"/>
        <v>0</v>
      </c>
      <c r="I102" s="112">
        <f t="shared" si="65"/>
        <v>0</v>
      </c>
      <c r="J102" s="112">
        <f t="shared" si="65"/>
        <v>0</v>
      </c>
      <c r="K102" s="112">
        <f t="shared" si="65"/>
        <v>0</v>
      </c>
      <c r="L102" s="112">
        <f t="shared" si="65"/>
        <v>0</v>
      </c>
      <c r="M102" s="112">
        <f t="shared" si="65"/>
        <v>0</v>
      </c>
      <c r="N102" s="112">
        <f t="shared" si="65"/>
        <v>0</v>
      </c>
      <c r="O102" s="112"/>
      <c r="P102" s="106"/>
      <c r="Q102" s="106"/>
      <c r="R102" s="106"/>
    </row>
    <row r="103" spans="1:18" ht="12.75">
      <c r="A103" s="112"/>
      <c r="B103" s="112"/>
      <c r="C103" s="117" t="s">
        <v>2</v>
      </c>
      <c r="D103" s="112"/>
      <c r="E103" s="112">
        <f>IF(AND(E$92&lt;&gt;"",E$94&lt;&gt;""),E$94,0)</f>
        <v>0</v>
      </c>
      <c r="F103" s="112">
        <f aca="true" t="shared" si="66" ref="F103:N103">IF(AND(F$92&lt;&gt;"",F$94&lt;&gt;""),F$94,0)</f>
        <v>0</v>
      </c>
      <c r="G103" s="112">
        <f t="shared" si="66"/>
        <v>0</v>
      </c>
      <c r="H103" s="112">
        <f t="shared" si="66"/>
        <v>0</v>
      </c>
      <c r="I103" s="112">
        <f t="shared" si="66"/>
        <v>0</v>
      </c>
      <c r="J103" s="112">
        <f t="shared" si="66"/>
        <v>0</v>
      </c>
      <c r="K103" s="112">
        <f t="shared" si="66"/>
        <v>0</v>
      </c>
      <c r="L103" s="112">
        <f t="shared" si="66"/>
        <v>0</v>
      </c>
      <c r="M103" s="112">
        <f t="shared" si="66"/>
        <v>0</v>
      </c>
      <c r="N103" s="112">
        <f t="shared" si="66"/>
        <v>0</v>
      </c>
      <c r="O103" s="112"/>
      <c r="P103" s="106"/>
      <c r="Q103" s="106"/>
      <c r="R103" s="106"/>
    </row>
    <row r="104" spans="1:18" ht="25.5">
      <c r="A104" s="112"/>
      <c r="B104" s="135" t="s">
        <v>117</v>
      </c>
      <c r="C104" s="117" t="s">
        <v>31</v>
      </c>
      <c r="D104" s="112"/>
      <c r="E104" s="113">
        <f>IF(E102&lt;-50,#N/A,IF(E102&lt;0,EXP((1738.4+28.74*E102)/(271+E102)),IF(E102&lt;=100,EXP((1500.3+23.5*E102)/(234+E102)),#N/A)))</f>
        <v>608.8296218791319</v>
      </c>
      <c r="F104" s="113">
        <f aca="true" t="shared" si="67" ref="F104:N104">IF(F102&lt;-50,#N/A,IF(F102&lt;0,EXP((1738.4+28.74*F102)/(271+F102)),IF(F102&lt;=100,EXP((1500.3+23.5*F102)/(234+F102)),#N/A)))</f>
        <v>608.8296218791319</v>
      </c>
      <c r="G104" s="113">
        <f t="shared" si="67"/>
        <v>608.8296218791319</v>
      </c>
      <c r="H104" s="113">
        <f t="shared" si="67"/>
        <v>608.8296218791319</v>
      </c>
      <c r="I104" s="113">
        <f t="shared" si="67"/>
        <v>608.8296218791319</v>
      </c>
      <c r="J104" s="113">
        <f t="shared" si="67"/>
        <v>608.8296218791319</v>
      </c>
      <c r="K104" s="113">
        <f t="shared" si="67"/>
        <v>608.8296218791319</v>
      </c>
      <c r="L104" s="113">
        <f t="shared" si="67"/>
        <v>608.8296218791319</v>
      </c>
      <c r="M104" s="113">
        <f t="shared" si="67"/>
        <v>608.8296218791319</v>
      </c>
      <c r="N104" s="113">
        <f t="shared" si="67"/>
        <v>608.8296218791319</v>
      </c>
      <c r="O104" s="112"/>
      <c r="P104" s="106"/>
      <c r="Q104" s="106"/>
      <c r="R104" s="106"/>
    </row>
    <row r="105" spans="1:18" ht="25.5">
      <c r="A105" s="112"/>
      <c r="B105" s="135" t="s">
        <v>117</v>
      </c>
      <c r="C105" s="117" t="s">
        <v>2</v>
      </c>
      <c r="D105" s="112"/>
      <c r="E105" s="112">
        <f>0.6222*MaxVlhkost*E104/(Tlak_vzduchu-MaxVlhkost*E104/1000)</f>
        <v>4.034605056126444</v>
      </c>
      <c r="F105" s="112">
        <f aca="true" t="shared" si="68" ref="F105:N105">0.6222*MaxVlhkost*F104/(Tlak_vzduchu-MaxVlhkost*F104/1000)</f>
        <v>4.034605056126444</v>
      </c>
      <c r="G105" s="112">
        <f t="shared" si="68"/>
        <v>4.034605056126444</v>
      </c>
      <c r="H105" s="112">
        <f t="shared" si="68"/>
        <v>4.034605056126444</v>
      </c>
      <c r="I105" s="112">
        <f t="shared" si="68"/>
        <v>4.034605056126444</v>
      </c>
      <c r="J105" s="112">
        <f t="shared" si="68"/>
        <v>4.034605056126444</v>
      </c>
      <c r="K105" s="112">
        <f t="shared" si="68"/>
        <v>4.034605056126444</v>
      </c>
      <c r="L105" s="112">
        <f t="shared" si="68"/>
        <v>4.034605056126444</v>
      </c>
      <c r="M105" s="112">
        <f t="shared" si="68"/>
        <v>4.034605056126444</v>
      </c>
      <c r="N105" s="112">
        <f t="shared" si="68"/>
        <v>4.034605056126444</v>
      </c>
      <c r="O105" s="112"/>
      <c r="P105" s="106"/>
      <c r="Q105" s="106"/>
      <c r="R105" s="106"/>
    </row>
    <row r="106" spans="1:18" ht="12.75">
      <c r="A106" s="112"/>
      <c r="B106" s="126" t="s">
        <v>70</v>
      </c>
      <c r="C106" s="117" t="s">
        <v>33</v>
      </c>
      <c r="D106" s="112"/>
      <c r="E106" s="112">
        <f>E102</f>
        <v>0</v>
      </c>
      <c r="F106" s="112">
        <f aca="true" t="shared" si="69" ref="F106:N106">F102</f>
        <v>0</v>
      </c>
      <c r="G106" s="112">
        <f t="shared" si="69"/>
        <v>0</v>
      </c>
      <c r="H106" s="112">
        <f t="shared" si="69"/>
        <v>0</v>
      </c>
      <c r="I106" s="112">
        <f t="shared" si="69"/>
        <v>0</v>
      </c>
      <c r="J106" s="112">
        <f t="shared" si="69"/>
        <v>0</v>
      </c>
      <c r="K106" s="112">
        <f t="shared" si="69"/>
        <v>0</v>
      </c>
      <c r="L106" s="112">
        <f t="shared" si="69"/>
        <v>0</v>
      </c>
      <c r="M106" s="112">
        <f t="shared" si="69"/>
        <v>0</v>
      </c>
      <c r="N106" s="112">
        <f t="shared" si="69"/>
        <v>0</v>
      </c>
      <c r="O106" s="112"/>
      <c r="P106" s="106"/>
      <c r="Q106" s="106"/>
      <c r="R106" s="106"/>
    </row>
    <row r="107" spans="1:18" ht="12.75">
      <c r="A107" s="112"/>
      <c r="B107" s="112"/>
      <c r="C107" s="117" t="s">
        <v>34</v>
      </c>
      <c r="D107" s="112"/>
      <c r="E107" s="112">
        <f>MIN(E103,E105)</f>
        <v>0</v>
      </c>
      <c r="F107" s="112">
        <f aca="true" t="shared" si="70" ref="F107:N107">MIN(F103,F105)</f>
        <v>0</v>
      </c>
      <c r="G107" s="112">
        <f t="shared" si="70"/>
        <v>0</v>
      </c>
      <c r="H107" s="112">
        <f t="shared" si="70"/>
        <v>0</v>
      </c>
      <c r="I107" s="112">
        <f t="shared" si="70"/>
        <v>0</v>
      </c>
      <c r="J107" s="112">
        <f t="shared" si="70"/>
        <v>0</v>
      </c>
      <c r="K107" s="112">
        <f t="shared" si="70"/>
        <v>0</v>
      </c>
      <c r="L107" s="112">
        <f t="shared" si="70"/>
        <v>0</v>
      </c>
      <c r="M107" s="112">
        <f t="shared" si="70"/>
        <v>0</v>
      </c>
      <c r="N107" s="112">
        <f t="shared" si="70"/>
        <v>0</v>
      </c>
      <c r="O107" s="112"/>
      <c r="P107" s="106"/>
      <c r="Q107" s="106"/>
      <c r="R107" s="106"/>
    </row>
    <row r="108" spans="1:18" ht="12.75">
      <c r="A108" s="112"/>
      <c r="B108" s="112"/>
      <c r="C108" s="117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06"/>
      <c r="Q108" s="106"/>
      <c r="R108" s="106"/>
    </row>
    <row r="109" spans="1:18" ht="12.75">
      <c r="A109" s="112"/>
      <c r="B109" s="118" t="s">
        <v>111</v>
      </c>
      <c r="C109" s="117" t="s">
        <v>0</v>
      </c>
      <c r="D109" s="112"/>
      <c r="E109" s="112">
        <f>IF(AND(E$92&lt;&gt;"",E$95&lt;&gt;""),E$92,0)</f>
        <v>0</v>
      </c>
      <c r="F109" s="112">
        <f aca="true" t="shared" si="71" ref="F109:N109">IF(AND(F$92&lt;&gt;"",F$95&lt;&gt;""),F$92,0)</f>
        <v>0</v>
      </c>
      <c r="G109" s="112">
        <f t="shared" si="71"/>
        <v>0</v>
      </c>
      <c r="H109" s="112">
        <f t="shared" si="71"/>
        <v>0</v>
      </c>
      <c r="I109" s="112">
        <f t="shared" si="71"/>
        <v>0</v>
      </c>
      <c r="J109" s="112">
        <f t="shared" si="71"/>
        <v>0</v>
      </c>
      <c r="K109" s="112">
        <f t="shared" si="71"/>
        <v>0</v>
      </c>
      <c r="L109" s="112">
        <f t="shared" si="71"/>
        <v>0</v>
      </c>
      <c r="M109" s="112">
        <f t="shared" si="71"/>
        <v>0</v>
      </c>
      <c r="N109" s="112">
        <f t="shared" si="71"/>
        <v>0</v>
      </c>
      <c r="O109" s="112"/>
      <c r="P109" s="106"/>
      <c r="Q109" s="106"/>
      <c r="R109" s="106"/>
    </row>
    <row r="110" spans="1:18" ht="12.75">
      <c r="A110" s="112"/>
      <c r="B110" s="112"/>
      <c r="C110" s="117" t="s">
        <v>3</v>
      </c>
      <c r="D110" s="112"/>
      <c r="E110" s="112">
        <f>IF(AND(E$92&lt;&gt;"",E$95&lt;&gt;""),E$95,0)</f>
        <v>0</v>
      </c>
      <c r="F110" s="112">
        <f aca="true" t="shared" si="72" ref="F110:N110">IF(AND(F$92&lt;&gt;"",F$95&lt;&gt;""),F$95,0)</f>
        <v>0</v>
      </c>
      <c r="G110" s="112">
        <f t="shared" si="72"/>
        <v>0</v>
      </c>
      <c r="H110" s="112">
        <f t="shared" si="72"/>
        <v>0</v>
      </c>
      <c r="I110" s="112">
        <f t="shared" si="72"/>
        <v>0</v>
      </c>
      <c r="J110" s="112">
        <f t="shared" si="72"/>
        <v>0</v>
      </c>
      <c r="K110" s="112">
        <f t="shared" si="72"/>
        <v>0</v>
      </c>
      <c r="L110" s="112">
        <f t="shared" si="72"/>
        <v>0</v>
      </c>
      <c r="M110" s="112">
        <f t="shared" si="72"/>
        <v>0</v>
      </c>
      <c r="N110" s="112">
        <f t="shared" si="72"/>
        <v>0</v>
      </c>
      <c r="O110" s="112"/>
      <c r="P110" s="106"/>
      <c r="Q110" s="106"/>
      <c r="R110" s="106"/>
    </row>
    <row r="111" spans="1:18" ht="25.5">
      <c r="A111" s="112"/>
      <c r="B111" s="135" t="s">
        <v>117</v>
      </c>
      <c r="C111" s="117" t="s">
        <v>31</v>
      </c>
      <c r="D111" s="112"/>
      <c r="E111" s="113">
        <f>IF(E109&lt;-50,#N/A,IF(E109&lt;0,EXP((1738.4+28.74*E109)/(271+E109)),IF(E109&lt;=100,EXP((1500.3+23.5*E109)/(234+E109)),#N/A)))</f>
        <v>608.8296218791319</v>
      </c>
      <c r="F111" s="113">
        <f aca="true" t="shared" si="73" ref="F111:N111">IF(F109&lt;-50,#N/A,IF(F109&lt;0,EXP((1738.4+28.74*F109)/(271+F109)),IF(F109&lt;=100,EXP((1500.3+23.5*F109)/(234+F109)),#N/A)))</f>
        <v>608.8296218791319</v>
      </c>
      <c r="G111" s="113">
        <f t="shared" si="73"/>
        <v>608.8296218791319</v>
      </c>
      <c r="H111" s="113">
        <f t="shared" si="73"/>
        <v>608.8296218791319</v>
      </c>
      <c r="I111" s="113">
        <f t="shared" si="73"/>
        <v>608.8296218791319</v>
      </c>
      <c r="J111" s="113">
        <f t="shared" si="73"/>
        <v>608.8296218791319</v>
      </c>
      <c r="K111" s="113">
        <f t="shared" si="73"/>
        <v>608.8296218791319</v>
      </c>
      <c r="L111" s="113">
        <f t="shared" si="73"/>
        <v>608.8296218791319</v>
      </c>
      <c r="M111" s="113">
        <f t="shared" si="73"/>
        <v>608.8296218791319</v>
      </c>
      <c r="N111" s="113">
        <f t="shared" si="73"/>
        <v>608.8296218791319</v>
      </c>
      <c r="O111" s="112"/>
      <c r="P111" s="106"/>
      <c r="Q111" s="106"/>
      <c r="R111" s="106"/>
    </row>
    <row r="112" spans="1:18" ht="25.5">
      <c r="A112" s="112"/>
      <c r="B112" s="135" t="s">
        <v>117</v>
      </c>
      <c r="C112" s="117" t="s">
        <v>2</v>
      </c>
      <c r="D112" s="112"/>
      <c r="E112" s="112">
        <f>0.6222*MaxVlhkost*E111/(Tlak_vzduchu-MaxVlhkost*E111/1000)</f>
        <v>4.034605056126444</v>
      </c>
      <c r="F112" s="112">
        <f aca="true" t="shared" si="74" ref="F112:N112">0.6222*MaxVlhkost*F111/(Tlak_vzduchu-MaxVlhkost*F111/1000)</f>
        <v>4.034605056126444</v>
      </c>
      <c r="G112" s="112">
        <f t="shared" si="74"/>
        <v>4.034605056126444</v>
      </c>
      <c r="H112" s="112">
        <f t="shared" si="74"/>
        <v>4.034605056126444</v>
      </c>
      <c r="I112" s="112">
        <f t="shared" si="74"/>
        <v>4.034605056126444</v>
      </c>
      <c r="J112" s="112">
        <f t="shared" si="74"/>
        <v>4.034605056126444</v>
      </c>
      <c r="K112" s="112">
        <f t="shared" si="74"/>
        <v>4.034605056126444</v>
      </c>
      <c r="L112" s="112">
        <f t="shared" si="74"/>
        <v>4.034605056126444</v>
      </c>
      <c r="M112" s="112">
        <f t="shared" si="74"/>
        <v>4.034605056126444</v>
      </c>
      <c r="N112" s="112">
        <f t="shared" si="74"/>
        <v>4.034605056126444</v>
      </c>
      <c r="O112" s="112"/>
      <c r="P112" s="106"/>
      <c r="Q112" s="106"/>
      <c r="R112" s="106"/>
    </row>
    <row r="113" spans="1:18" ht="38.25">
      <c r="A113" s="112"/>
      <c r="B113" s="135" t="s">
        <v>119</v>
      </c>
      <c r="C113" s="117" t="s">
        <v>2</v>
      </c>
      <c r="D113" s="112"/>
      <c r="E113" s="112">
        <f>(E110-1.01*E109)/(2501+1.86*E109)*1000</f>
        <v>0</v>
      </c>
      <c r="F113" s="112">
        <f aca="true" t="shared" si="75" ref="F113:N113">(F110-1.01*F109)/(2501+1.86*F109)*1000</f>
        <v>0</v>
      </c>
      <c r="G113" s="112">
        <f t="shared" si="75"/>
        <v>0</v>
      </c>
      <c r="H113" s="112">
        <f t="shared" si="75"/>
        <v>0</v>
      </c>
      <c r="I113" s="112">
        <f t="shared" si="75"/>
        <v>0</v>
      </c>
      <c r="J113" s="112">
        <f t="shared" si="75"/>
        <v>0</v>
      </c>
      <c r="K113" s="112">
        <f t="shared" si="75"/>
        <v>0</v>
      </c>
      <c r="L113" s="112">
        <f t="shared" si="75"/>
        <v>0</v>
      </c>
      <c r="M113" s="112">
        <f t="shared" si="75"/>
        <v>0</v>
      </c>
      <c r="N113" s="112">
        <f t="shared" si="75"/>
        <v>0</v>
      </c>
      <c r="O113" s="112"/>
      <c r="P113" s="106"/>
      <c r="Q113" s="106"/>
      <c r="R113" s="106"/>
    </row>
    <row r="114" spans="1:18" ht="12.75">
      <c r="A114" s="112"/>
      <c r="B114" s="127" t="s">
        <v>70</v>
      </c>
      <c r="C114" s="117" t="s">
        <v>33</v>
      </c>
      <c r="D114" s="112"/>
      <c r="E114" s="112">
        <f>E109</f>
        <v>0</v>
      </c>
      <c r="F114" s="112">
        <f aca="true" t="shared" si="76" ref="F114:N114">F109</f>
        <v>0</v>
      </c>
      <c r="G114" s="112">
        <f t="shared" si="76"/>
        <v>0</v>
      </c>
      <c r="H114" s="112">
        <f t="shared" si="76"/>
        <v>0</v>
      </c>
      <c r="I114" s="112">
        <f t="shared" si="76"/>
        <v>0</v>
      </c>
      <c r="J114" s="112">
        <f t="shared" si="76"/>
        <v>0</v>
      </c>
      <c r="K114" s="112">
        <f t="shared" si="76"/>
        <v>0</v>
      </c>
      <c r="L114" s="112">
        <f t="shared" si="76"/>
        <v>0</v>
      </c>
      <c r="M114" s="112">
        <f t="shared" si="76"/>
        <v>0</v>
      </c>
      <c r="N114" s="112">
        <f t="shared" si="76"/>
        <v>0</v>
      </c>
      <c r="O114" s="112"/>
      <c r="P114" s="106"/>
      <c r="Q114" s="106"/>
      <c r="R114" s="106"/>
    </row>
    <row r="115" spans="1:18" ht="12.75">
      <c r="A115" s="112"/>
      <c r="B115" s="112"/>
      <c r="C115" s="117" t="s">
        <v>34</v>
      </c>
      <c r="D115" s="112"/>
      <c r="E115" s="112">
        <f>MIN(E112,E113)</f>
        <v>0</v>
      </c>
      <c r="F115" s="112">
        <f aca="true" t="shared" si="77" ref="F115:N115">MIN(F112,F113)</f>
        <v>0</v>
      </c>
      <c r="G115" s="112">
        <f t="shared" si="77"/>
        <v>0</v>
      </c>
      <c r="H115" s="112">
        <f t="shared" si="77"/>
        <v>0</v>
      </c>
      <c r="I115" s="112">
        <f t="shared" si="77"/>
        <v>0</v>
      </c>
      <c r="J115" s="112">
        <f t="shared" si="77"/>
        <v>0</v>
      </c>
      <c r="K115" s="112">
        <f t="shared" si="77"/>
        <v>0</v>
      </c>
      <c r="L115" s="112">
        <f t="shared" si="77"/>
        <v>0</v>
      </c>
      <c r="M115" s="112">
        <f t="shared" si="77"/>
        <v>0</v>
      </c>
      <c r="N115" s="112">
        <f t="shared" si="77"/>
        <v>0</v>
      </c>
      <c r="O115" s="112"/>
      <c r="P115" s="106"/>
      <c r="Q115" s="106"/>
      <c r="R115" s="106"/>
    </row>
    <row r="116" spans="1:18" ht="12.75">
      <c r="A116" s="112"/>
      <c r="B116" s="112"/>
      <c r="C116" s="117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06"/>
      <c r="Q116" s="106"/>
      <c r="R116" s="106"/>
    </row>
    <row r="117" spans="1:18" ht="12.75">
      <c r="A117" s="112"/>
      <c r="B117" s="118" t="s">
        <v>112</v>
      </c>
      <c r="C117" s="117" t="s">
        <v>0</v>
      </c>
      <c r="D117" s="112"/>
      <c r="E117" s="112">
        <f>IF(AND(E$92&lt;&gt;"",E$93&lt;&gt;""),E$92,0)</f>
        <v>0</v>
      </c>
      <c r="F117" s="112">
        <f aca="true" t="shared" si="78" ref="F117:N117">IF(AND(F$92&lt;&gt;"",F$93&lt;&gt;""),F$92,0)</f>
        <v>0</v>
      </c>
      <c r="G117" s="112">
        <f t="shared" si="78"/>
        <v>0</v>
      </c>
      <c r="H117" s="112">
        <f t="shared" si="78"/>
        <v>0</v>
      </c>
      <c r="I117" s="112">
        <f t="shared" si="78"/>
        <v>0</v>
      </c>
      <c r="J117" s="112">
        <f t="shared" si="78"/>
        <v>0</v>
      </c>
      <c r="K117" s="112">
        <f t="shared" si="78"/>
        <v>0</v>
      </c>
      <c r="L117" s="112">
        <f t="shared" si="78"/>
        <v>0</v>
      </c>
      <c r="M117" s="112">
        <f t="shared" si="78"/>
        <v>0</v>
      </c>
      <c r="N117" s="112">
        <f t="shared" si="78"/>
        <v>0</v>
      </c>
      <c r="O117" s="112"/>
      <c r="P117" s="106"/>
      <c r="Q117" s="106"/>
      <c r="R117" s="106"/>
    </row>
    <row r="118" spans="1:18" ht="12" customHeight="1">
      <c r="A118" s="112"/>
      <c r="B118" s="112"/>
      <c r="C118" s="117" t="s">
        <v>32</v>
      </c>
      <c r="D118" s="112"/>
      <c r="E118" s="112">
        <f>IF(AND(E$92&lt;&gt;"",E$93&lt;&gt;""),MIN(E$93,MaxVlhkost),0)</f>
        <v>0</v>
      </c>
      <c r="F118" s="112">
        <f aca="true" t="shared" si="79" ref="F118:N118">IF(AND(F$92&lt;&gt;"",F$93&lt;&gt;""),MIN(F$93,MaxVlhkost),0)</f>
        <v>0</v>
      </c>
      <c r="G118" s="112">
        <f t="shared" si="79"/>
        <v>0</v>
      </c>
      <c r="H118" s="112">
        <f t="shared" si="79"/>
        <v>0</v>
      </c>
      <c r="I118" s="112">
        <f t="shared" si="79"/>
        <v>0</v>
      </c>
      <c r="J118" s="112">
        <f t="shared" si="79"/>
        <v>0</v>
      </c>
      <c r="K118" s="112">
        <f t="shared" si="79"/>
        <v>0</v>
      </c>
      <c r="L118" s="112">
        <f t="shared" si="79"/>
        <v>0</v>
      </c>
      <c r="M118" s="112">
        <f t="shared" si="79"/>
        <v>0</v>
      </c>
      <c r="N118" s="112">
        <f t="shared" si="79"/>
        <v>0</v>
      </c>
      <c r="O118" s="112"/>
      <c r="P118" s="106"/>
      <c r="Q118" s="106"/>
      <c r="R118" s="106"/>
    </row>
    <row r="119" spans="1:18" ht="12" customHeight="1">
      <c r="A119" s="112"/>
      <c r="B119" s="112"/>
      <c r="C119" s="117" t="s">
        <v>31</v>
      </c>
      <c r="D119" s="112"/>
      <c r="E119" s="113">
        <f>IF(E117&lt;-50,#N/A,IF(E117&lt;0,EXP((1738.4+28.74*E117)/(271+E117)),IF(E117&lt;=100,EXP((1500.3+23.5*E117)/(234+E117)),#N/A)))</f>
        <v>608.8296218791319</v>
      </c>
      <c r="F119" s="113">
        <f aca="true" t="shared" si="80" ref="F119:N119">IF(F117&lt;-50,#N/A,IF(F117&lt;0,EXP((1738.4+28.74*F117)/(271+F117)),IF(F117&lt;=100,EXP((1500.3+23.5*F117)/(234+F117)),#N/A)))</f>
        <v>608.8296218791319</v>
      </c>
      <c r="G119" s="113">
        <f t="shared" si="80"/>
        <v>608.8296218791319</v>
      </c>
      <c r="H119" s="113">
        <f t="shared" si="80"/>
        <v>608.8296218791319</v>
      </c>
      <c r="I119" s="113">
        <f t="shared" si="80"/>
        <v>608.8296218791319</v>
      </c>
      <c r="J119" s="113">
        <f t="shared" si="80"/>
        <v>608.8296218791319</v>
      </c>
      <c r="K119" s="113">
        <f t="shared" si="80"/>
        <v>608.8296218791319</v>
      </c>
      <c r="L119" s="113">
        <f t="shared" si="80"/>
        <v>608.8296218791319</v>
      </c>
      <c r="M119" s="113">
        <f t="shared" si="80"/>
        <v>608.8296218791319</v>
      </c>
      <c r="N119" s="113">
        <f t="shared" si="80"/>
        <v>608.8296218791319</v>
      </c>
      <c r="O119" s="112"/>
      <c r="P119" s="106"/>
      <c r="Q119" s="106"/>
      <c r="R119" s="106"/>
    </row>
    <row r="120" spans="1:18" ht="12" customHeight="1">
      <c r="A120" s="112"/>
      <c r="B120" s="127" t="s">
        <v>70</v>
      </c>
      <c r="C120" s="117" t="s">
        <v>33</v>
      </c>
      <c r="D120" s="112"/>
      <c r="E120" s="113">
        <f>E117</f>
        <v>0</v>
      </c>
      <c r="F120" s="113">
        <f aca="true" t="shared" si="81" ref="F120:N120">F117</f>
        <v>0</v>
      </c>
      <c r="G120" s="113">
        <f t="shared" si="81"/>
        <v>0</v>
      </c>
      <c r="H120" s="113">
        <f t="shared" si="81"/>
        <v>0</v>
      </c>
      <c r="I120" s="113">
        <f t="shared" si="81"/>
        <v>0</v>
      </c>
      <c r="J120" s="113">
        <f t="shared" si="81"/>
        <v>0</v>
      </c>
      <c r="K120" s="113">
        <f t="shared" si="81"/>
        <v>0</v>
      </c>
      <c r="L120" s="113">
        <f t="shared" si="81"/>
        <v>0</v>
      </c>
      <c r="M120" s="113">
        <f t="shared" si="81"/>
        <v>0</v>
      </c>
      <c r="N120" s="113">
        <f t="shared" si="81"/>
        <v>0</v>
      </c>
      <c r="O120" s="112"/>
      <c r="P120" s="106"/>
      <c r="Q120" s="106"/>
      <c r="R120" s="106"/>
    </row>
    <row r="121" spans="1:18" ht="12" customHeight="1">
      <c r="A121" s="112"/>
      <c r="B121" s="112"/>
      <c r="C121" s="117" t="s">
        <v>34</v>
      </c>
      <c r="D121" s="112"/>
      <c r="E121" s="112">
        <f>0.6222*E118*E119/(Tlak_vzduchu-E118*E119/1000)</f>
        <v>0</v>
      </c>
      <c r="F121" s="112">
        <f aca="true" t="shared" si="82" ref="F121:N121">0.6222*F118*F119/(Tlak_vzduchu-F118*F119/1000)</f>
        <v>0</v>
      </c>
      <c r="G121" s="112">
        <f t="shared" si="82"/>
        <v>0</v>
      </c>
      <c r="H121" s="112">
        <f t="shared" si="82"/>
        <v>0</v>
      </c>
      <c r="I121" s="112">
        <f t="shared" si="82"/>
        <v>0</v>
      </c>
      <c r="J121" s="112">
        <f t="shared" si="82"/>
        <v>0</v>
      </c>
      <c r="K121" s="112">
        <f t="shared" si="82"/>
        <v>0</v>
      </c>
      <c r="L121" s="112">
        <f t="shared" si="82"/>
        <v>0</v>
      </c>
      <c r="M121" s="112">
        <f t="shared" si="82"/>
        <v>0</v>
      </c>
      <c r="N121" s="112">
        <f t="shared" si="82"/>
        <v>0</v>
      </c>
      <c r="O121" s="112"/>
      <c r="P121" s="106"/>
      <c r="Q121" s="106"/>
      <c r="R121" s="106"/>
    </row>
    <row r="122" spans="1:18" ht="12.75">
      <c r="A122" s="112"/>
      <c r="B122" s="112"/>
      <c r="C122" s="117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06"/>
      <c r="Q122" s="106"/>
      <c r="R122" s="106"/>
    </row>
    <row r="123" spans="1:18" ht="12.75">
      <c r="A123" s="112"/>
      <c r="B123" s="118" t="s">
        <v>113</v>
      </c>
      <c r="C123" s="117" t="s">
        <v>3</v>
      </c>
      <c r="D123" s="112"/>
      <c r="E123" s="112">
        <f>IF(AND(E$94&lt;&gt;"",E$95&lt;&gt;""),E$95,0)</f>
        <v>0</v>
      </c>
      <c r="F123" s="112">
        <f aca="true" t="shared" si="83" ref="F123:N123">IF(AND(F$94&lt;&gt;"",F$95&lt;&gt;""),F$95,0)</f>
        <v>0</v>
      </c>
      <c r="G123" s="112">
        <f t="shared" si="83"/>
        <v>0</v>
      </c>
      <c r="H123" s="112">
        <f t="shared" si="83"/>
        <v>0</v>
      </c>
      <c r="I123" s="112">
        <f t="shared" si="83"/>
        <v>0</v>
      </c>
      <c r="J123" s="112">
        <f t="shared" si="83"/>
        <v>0</v>
      </c>
      <c r="K123" s="112">
        <f t="shared" si="83"/>
        <v>0</v>
      </c>
      <c r="L123" s="112">
        <f t="shared" si="83"/>
        <v>0</v>
      </c>
      <c r="M123" s="112">
        <f t="shared" si="83"/>
        <v>0</v>
      </c>
      <c r="N123" s="112">
        <f t="shared" si="83"/>
        <v>0</v>
      </c>
      <c r="O123" s="112"/>
      <c r="P123" s="106"/>
      <c r="Q123" s="106"/>
      <c r="R123" s="106"/>
    </row>
    <row r="124" spans="1:18" ht="12.75">
      <c r="A124" s="112"/>
      <c r="B124" s="112"/>
      <c r="C124" s="117" t="s">
        <v>2</v>
      </c>
      <c r="D124" s="112"/>
      <c r="E124" s="112">
        <f>IF(AND(E$94&lt;&gt;"",E$95&lt;&gt;""),E$94,0)</f>
        <v>0</v>
      </c>
      <c r="F124" s="112">
        <f aca="true" t="shared" si="84" ref="F124:N124">IF(AND(F$94&lt;&gt;"",F$95&lt;&gt;""),F$94,0)</f>
        <v>0</v>
      </c>
      <c r="G124" s="112">
        <f t="shared" si="84"/>
        <v>0</v>
      </c>
      <c r="H124" s="112">
        <f t="shared" si="84"/>
        <v>0</v>
      </c>
      <c r="I124" s="112">
        <f t="shared" si="84"/>
        <v>0</v>
      </c>
      <c r="J124" s="112">
        <f t="shared" si="84"/>
        <v>0</v>
      </c>
      <c r="K124" s="112">
        <f t="shared" si="84"/>
        <v>0</v>
      </c>
      <c r="L124" s="112">
        <f t="shared" si="84"/>
        <v>0</v>
      </c>
      <c r="M124" s="112">
        <f t="shared" si="84"/>
        <v>0</v>
      </c>
      <c r="N124" s="112">
        <f t="shared" si="84"/>
        <v>0</v>
      </c>
      <c r="O124" s="112"/>
      <c r="P124" s="106"/>
      <c r="Q124" s="106"/>
      <c r="R124" s="106"/>
    </row>
    <row r="125" spans="1:18" ht="12.75">
      <c r="A125" s="112"/>
      <c r="B125" s="112"/>
      <c r="C125" s="117" t="s">
        <v>40</v>
      </c>
      <c r="D125" s="112"/>
      <c r="E125" s="112">
        <f>(E123-2501*E124/1000)/(1.01+1.86*E124/1000)</f>
        <v>0</v>
      </c>
      <c r="F125" s="112">
        <f aca="true" t="shared" si="85" ref="F125:N125">(F123-2501*F124/1000)/(1.01+1.86*F124/1000)</f>
        <v>0</v>
      </c>
      <c r="G125" s="112">
        <f t="shared" si="85"/>
        <v>0</v>
      </c>
      <c r="H125" s="112">
        <f t="shared" si="85"/>
        <v>0</v>
      </c>
      <c r="I125" s="112">
        <f t="shared" si="85"/>
        <v>0</v>
      </c>
      <c r="J125" s="112">
        <f t="shared" si="85"/>
        <v>0</v>
      </c>
      <c r="K125" s="112">
        <f t="shared" si="85"/>
        <v>0</v>
      </c>
      <c r="L125" s="112">
        <f t="shared" si="85"/>
        <v>0</v>
      </c>
      <c r="M125" s="112">
        <f t="shared" si="85"/>
        <v>0</v>
      </c>
      <c r="N125" s="112">
        <f t="shared" si="85"/>
        <v>0</v>
      </c>
      <c r="O125" s="112"/>
      <c r="P125" s="106"/>
      <c r="Q125" s="106"/>
      <c r="R125" s="106"/>
    </row>
    <row r="126" spans="1:18" ht="12.75">
      <c r="A126" s="112"/>
      <c r="B126" s="112"/>
      <c r="C126" s="128" t="s">
        <v>41</v>
      </c>
      <c r="D126" s="112"/>
      <c r="E126" s="112">
        <v>-5.781330087502991</v>
      </c>
      <c r="F126" s="112">
        <v>-5.781695149686183</v>
      </c>
      <c r="G126" s="112">
        <v>-5.781225024205752</v>
      </c>
      <c r="H126" s="112">
        <v>-5.7813328973617555</v>
      </c>
      <c r="I126" s="112">
        <v>-5.781323447238205</v>
      </c>
      <c r="J126" s="112">
        <v>-5.781315880525224</v>
      </c>
      <c r="K126" s="112">
        <v>-5.781323623913792</v>
      </c>
      <c r="L126" s="112">
        <v>-5.7817005781944255</v>
      </c>
      <c r="M126" s="112">
        <v>-5.781329715160585</v>
      </c>
      <c r="N126" s="112">
        <v>-5.781330087502991</v>
      </c>
      <c r="O126" s="112"/>
      <c r="P126" s="106"/>
      <c r="Q126" s="106"/>
      <c r="R126" s="106"/>
    </row>
    <row r="127" spans="1:18" ht="12.75">
      <c r="A127" s="112"/>
      <c r="B127" s="112"/>
      <c r="C127" s="128" t="s">
        <v>31</v>
      </c>
      <c r="D127" s="112"/>
      <c r="E127" s="113">
        <f>IF(E126&lt;-50,#N/A,IF(E126&lt;0,EXP((1738.4+28.74*E126)/(271+E126)),IF(E126&lt;=100,EXP((1500.3+23.5*E126)/(234+E126)),#N/A)))</f>
        <v>375.44301312156364</v>
      </c>
      <c r="F127" s="113">
        <f aca="true" t="shared" si="86" ref="F127:N127">IF(F126&lt;-50,#N/A,IF(F126&lt;0,EXP((1738.4+28.74*F126)/(271+F126)),IF(F126&lt;=100,EXP((1500.3+23.5*F126)/(234+F126)),#N/A)))</f>
        <v>375.43122453079735</v>
      </c>
      <c r="G127" s="113">
        <f t="shared" si="86"/>
        <v>375.44640588892963</v>
      </c>
      <c r="H127" s="113">
        <f t="shared" si="86"/>
        <v>375.442922384294</v>
      </c>
      <c r="I127" s="113">
        <f t="shared" si="86"/>
        <v>375.4432275521715</v>
      </c>
      <c r="J127" s="113">
        <f t="shared" si="86"/>
        <v>375.44347190022364</v>
      </c>
      <c r="K127" s="113">
        <f t="shared" si="86"/>
        <v>375.4432218468776</v>
      </c>
      <c r="L127" s="113">
        <f t="shared" si="86"/>
        <v>375.4310492359166</v>
      </c>
      <c r="M127" s="113">
        <f t="shared" si="86"/>
        <v>375.4430251454203</v>
      </c>
      <c r="N127" s="113">
        <f t="shared" si="86"/>
        <v>375.44301312156364</v>
      </c>
      <c r="O127" s="112"/>
      <c r="P127" s="106"/>
      <c r="Q127" s="106"/>
      <c r="R127" s="106"/>
    </row>
    <row r="128" spans="1:18" ht="12.75">
      <c r="A128" s="112"/>
      <c r="B128" s="112"/>
      <c r="C128" s="128" t="s">
        <v>37</v>
      </c>
      <c r="D128" s="112"/>
      <c r="E128" s="112">
        <f>0.6222*MaxVlhkost*E127/(Tlak_vzduchu-MaxVlhkost*E127/1000)</f>
        <v>2.481824618805933</v>
      </c>
      <c r="F128" s="112">
        <f aca="true" t="shared" si="87" ref="F128:N128">0.6222*MaxVlhkost*F127/(Tlak_vzduchu-MaxVlhkost*F127/1000)</f>
        <v>2.48174638080192</v>
      </c>
      <c r="G128" s="112">
        <f t="shared" si="87"/>
        <v>2.4818471357797485</v>
      </c>
      <c r="H128" s="112">
        <f t="shared" si="87"/>
        <v>2.4818240166047123</v>
      </c>
      <c r="I128" s="112">
        <f t="shared" si="87"/>
        <v>2.4818260419298013</v>
      </c>
      <c r="J128" s="112">
        <f t="shared" si="87"/>
        <v>2.4818276636084904</v>
      </c>
      <c r="K128" s="112">
        <f t="shared" si="87"/>
        <v>2.481826004065151</v>
      </c>
      <c r="L128" s="112">
        <f t="shared" si="87"/>
        <v>2.481745217412664</v>
      </c>
      <c r="M128" s="112">
        <f t="shared" si="87"/>
        <v>2.481824698605349</v>
      </c>
      <c r="N128" s="112">
        <f t="shared" si="87"/>
        <v>2.481824618805933</v>
      </c>
      <c r="O128" s="112"/>
      <c r="P128" s="106"/>
      <c r="Q128" s="106"/>
      <c r="R128" s="106"/>
    </row>
    <row r="129" spans="1:18" ht="12.75">
      <c r="A129" s="112"/>
      <c r="B129" s="112"/>
      <c r="C129" s="128" t="s">
        <v>38</v>
      </c>
      <c r="D129" s="112"/>
      <c r="E129" s="112">
        <f>(E123-1.01*E126)/(2501+1.86*E126)*1000</f>
        <v>2.3448051662213847</v>
      </c>
      <c r="F129" s="112">
        <f aca="true" t="shared" si="88" ref="F129:N129">(F123-1.01*F126)/(2501+1.86*F126)*1000</f>
        <v>2.344953868380714</v>
      </c>
      <c r="G129" s="112">
        <f t="shared" si="88"/>
        <v>2.3447623704063183</v>
      </c>
      <c r="H129" s="112">
        <f t="shared" si="88"/>
        <v>2.3448063107714696</v>
      </c>
      <c r="I129" s="112">
        <f t="shared" si="88"/>
        <v>2.3448024614179745</v>
      </c>
      <c r="J129" s="112">
        <f t="shared" si="88"/>
        <v>2.344799379241056</v>
      </c>
      <c r="K129" s="112">
        <f t="shared" si="88"/>
        <v>2.3448025333838896</v>
      </c>
      <c r="L129" s="112">
        <f t="shared" si="88"/>
        <v>2.3449560795961135</v>
      </c>
      <c r="M129" s="112">
        <f t="shared" si="88"/>
        <v>2.3448050145537866</v>
      </c>
      <c r="N129" s="112">
        <f t="shared" si="88"/>
        <v>2.3448051662213847</v>
      </c>
      <c r="O129" s="112"/>
      <c r="P129" s="106"/>
      <c r="Q129" s="106"/>
      <c r="R129" s="106"/>
    </row>
    <row r="130" spans="1:18" ht="12.75">
      <c r="A130" s="112"/>
      <c r="B130" s="112"/>
      <c r="C130" s="129" t="s">
        <v>39</v>
      </c>
      <c r="D130" s="112"/>
      <c r="E130" s="112">
        <f>E128-E129</f>
        <v>0.1370194525845485</v>
      </c>
      <c r="F130" s="112">
        <f aca="true" t="shared" si="89" ref="F130:N130">F128-F129</f>
        <v>0.13679251242120616</v>
      </c>
      <c r="G130" s="112">
        <f t="shared" si="89"/>
        <v>0.13708476537343017</v>
      </c>
      <c r="H130" s="112">
        <f t="shared" si="89"/>
        <v>0.1370177058332427</v>
      </c>
      <c r="I130" s="112">
        <f t="shared" si="89"/>
        <v>0.13702358051182673</v>
      </c>
      <c r="J130" s="112">
        <f t="shared" si="89"/>
        <v>0.13702828436743442</v>
      </c>
      <c r="K130" s="112">
        <f t="shared" si="89"/>
        <v>0.13702347068126164</v>
      </c>
      <c r="L130" s="112">
        <f t="shared" si="89"/>
        <v>0.13678913781655044</v>
      </c>
      <c r="M130" s="112">
        <f t="shared" si="89"/>
        <v>0.1370196840515625</v>
      </c>
      <c r="N130" s="112">
        <f t="shared" si="89"/>
        <v>0.1370194525845485</v>
      </c>
      <c r="O130" s="112"/>
      <c r="P130" s="106"/>
      <c r="Q130" s="106"/>
      <c r="R130" s="106"/>
    </row>
    <row r="131" spans="1:18" ht="12.75">
      <c r="A131" s="112"/>
      <c r="B131" s="127" t="s">
        <v>70</v>
      </c>
      <c r="C131" s="117" t="s">
        <v>33</v>
      </c>
      <c r="D131" s="112"/>
      <c r="E131" s="112">
        <f>IF(AND(E123=0,E124=0),0,IF(E125&gt;E126,E125,E126))</f>
        <v>0</v>
      </c>
      <c r="F131" s="112">
        <f aca="true" t="shared" si="90" ref="F131:N131">IF(AND(F123=0,F124=0),0,IF(F125&gt;F126,F125,F126))</f>
        <v>0</v>
      </c>
      <c r="G131" s="112">
        <f t="shared" si="90"/>
        <v>0</v>
      </c>
      <c r="H131" s="112">
        <f t="shared" si="90"/>
        <v>0</v>
      </c>
      <c r="I131" s="112">
        <f t="shared" si="90"/>
        <v>0</v>
      </c>
      <c r="J131" s="112">
        <f t="shared" si="90"/>
        <v>0</v>
      </c>
      <c r="K131" s="112">
        <f t="shared" si="90"/>
        <v>0</v>
      </c>
      <c r="L131" s="112">
        <f t="shared" si="90"/>
        <v>0</v>
      </c>
      <c r="M131" s="112">
        <f t="shared" si="90"/>
        <v>0</v>
      </c>
      <c r="N131" s="112">
        <f t="shared" si="90"/>
        <v>0</v>
      </c>
      <c r="O131" s="112"/>
      <c r="P131" s="106"/>
      <c r="Q131" s="106"/>
      <c r="R131" s="106"/>
    </row>
    <row r="132" spans="1:18" ht="12.75">
      <c r="A132" s="112"/>
      <c r="B132" s="112"/>
      <c r="C132" s="117" t="s">
        <v>34</v>
      </c>
      <c r="D132" s="112"/>
      <c r="E132" s="112">
        <f>IF(AND(E123=0,E124=0),0,IF(E125&gt;E126,E124,E128))</f>
        <v>0</v>
      </c>
      <c r="F132" s="112">
        <f aca="true" t="shared" si="91" ref="F132:N132">IF(AND(F123=0,F124=0),0,IF(F125&gt;F126,F124,F128))</f>
        <v>0</v>
      </c>
      <c r="G132" s="112">
        <f t="shared" si="91"/>
        <v>0</v>
      </c>
      <c r="H132" s="112">
        <f t="shared" si="91"/>
        <v>0</v>
      </c>
      <c r="I132" s="112">
        <f t="shared" si="91"/>
        <v>0</v>
      </c>
      <c r="J132" s="112">
        <f t="shared" si="91"/>
        <v>0</v>
      </c>
      <c r="K132" s="112">
        <f t="shared" si="91"/>
        <v>0</v>
      </c>
      <c r="L132" s="112">
        <f t="shared" si="91"/>
        <v>0</v>
      </c>
      <c r="M132" s="112">
        <f t="shared" si="91"/>
        <v>0</v>
      </c>
      <c r="N132" s="112">
        <f t="shared" si="91"/>
        <v>0</v>
      </c>
      <c r="O132" s="112"/>
      <c r="P132" s="106"/>
      <c r="Q132" s="106"/>
      <c r="R132" s="106"/>
    </row>
    <row r="133" spans="1:18" ht="12.75">
      <c r="A133" s="112"/>
      <c r="B133" s="112"/>
      <c r="C133" s="117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06"/>
      <c r="Q133" s="106"/>
      <c r="R133" s="106"/>
    </row>
    <row r="134" spans="1:18" ht="12.75">
      <c r="A134" s="112"/>
      <c r="B134" s="118" t="s">
        <v>114</v>
      </c>
      <c r="C134" s="117" t="s">
        <v>32</v>
      </c>
      <c r="D134" s="112" t="s">
        <v>36</v>
      </c>
      <c r="E134" s="112">
        <f>IF(AND(E$93&lt;&gt;"",E$94&lt;&gt;""),MIN(E$93,MaxVlhkost),0)</f>
        <v>0</v>
      </c>
      <c r="F134" s="112">
        <f aca="true" t="shared" si="92" ref="F134:N134">IF(AND(F$93&lt;&gt;"",F$94&lt;&gt;""),MIN(F$93,MaxVlhkost),0)</f>
        <v>0</v>
      </c>
      <c r="G134" s="112">
        <f t="shared" si="92"/>
        <v>0</v>
      </c>
      <c r="H134" s="112">
        <f t="shared" si="92"/>
        <v>0</v>
      </c>
      <c r="I134" s="112">
        <f t="shared" si="92"/>
        <v>0</v>
      </c>
      <c r="J134" s="112">
        <f t="shared" si="92"/>
        <v>0</v>
      </c>
      <c r="K134" s="112">
        <f t="shared" si="92"/>
        <v>0</v>
      </c>
      <c r="L134" s="112">
        <f t="shared" si="92"/>
        <v>0</v>
      </c>
      <c r="M134" s="112">
        <f t="shared" si="92"/>
        <v>0</v>
      </c>
      <c r="N134" s="112">
        <f t="shared" si="92"/>
        <v>0</v>
      </c>
      <c r="O134" s="112"/>
      <c r="P134" s="106"/>
      <c r="Q134" s="106"/>
      <c r="R134" s="106"/>
    </row>
    <row r="135" spans="1:18" ht="12.75">
      <c r="A135" s="112"/>
      <c r="B135" s="112"/>
      <c r="C135" s="117" t="s">
        <v>2</v>
      </c>
      <c r="D135" s="112" t="s">
        <v>35</v>
      </c>
      <c r="E135" s="112">
        <f>IF(AND(E$93&lt;&gt;"",E$94&lt;&gt;""),E$94,0)</f>
        <v>0</v>
      </c>
      <c r="F135" s="112">
        <f aca="true" t="shared" si="93" ref="F135:N135">IF(AND(F$93&lt;&gt;"",F$94&lt;&gt;""),F$94,0)</f>
        <v>0</v>
      </c>
      <c r="G135" s="112">
        <f t="shared" si="93"/>
        <v>0</v>
      </c>
      <c r="H135" s="112">
        <f t="shared" si="93"/>
        <v>0</v>
      </c>
      <c r="I135" s="112">
        <f t="shared" si="93"/>
        <v>0</v>
      </c>
      <c r="J135" s="112">
        <f t="shared" si="93"/>
        <v>0</v>
      </c>
      <c r="K135" s="112">
        <f t="shared" si="93"/>
        <v>0</v>
      </c>
      <c r="L135" s="112">
        <f t="shared" si="93"/>
        <v>0</v>
      </c>
      <c r="M135" s="112">
        <f t="shared" si="93"/>
        <v>0</v>
      </c>
      <c r="N135" s="112">
        <f t="shared" si="93"/>
        <v>0</v>
      </c>
      <c r="O135" s="112"/>
      <c r="P135" s="106"/>
      <c r="Q135" s="106"/>
      <c r="R135" s="106"/>
    </row>
    <row r="136" spans="1:18" ht="12.75">
      <c r="A136" s="112"/>
      <c r="B136" s="112"/>
      <c r="C136" s="117" t="s">
        <v>31</v>
      </c>
      <c r="D136" s="112" t="s">
        <v>10</v>
      </c>
      <c r="E136" s="112" t="e">
        <f>E135/1000*Tlak_vzduchu/E134/(0.6222+E135/1000)*1000</f>
        <v>#DIV/0!</v>
      </c>
      <c r="F136" s="112" t="e">
        <f aca="true" t="shared" si="94" ref="F136:N136">F135/1000*Tlak_vzduchu/F134/(0.6222+F135/1000)*1000</f>
        <v>#DIV/0!</v>
      </c>
      <c r="G136" s="112" t="e">
        <f t="shared" si="94"/>
        <v>#DIV/0!</v>
      </c>
      <c r="H136" s="112" t="e">
        <f t="shared" si="94"/>
        <v>#DIV/0!</v>
      </c>
      <c r="I136" s="112" t="e">
        <f t="shared" si="94"/>
        <v>#DIV/0!</v>
      </c>
      <c r="J136" s="112" t="e">
        <f t="shared" si="94"/>
        <v>#DIV/0!</v>
      </c>
      <c r="K136" s="112" t="e">
        <f t="shared" si="94"/>
        <v>#DIV/0!</v>
      </c>
      <c r="L136" s="112" t="e">
        <f t="shared" si="94"/>
        <v>#DIV/0!</v>
      </c>
      <c r="M136" s="112" t="e">
        <f t="shared" si="94"/>
        <v>#DIV/0!</v>
      </c>
      <c r="N136" s="112" t="e">
        <f t="shared" si="94"/>
        <v>#DIV/0!</v>
      </c>
      <c r="O136" s="112"/>
      <c r="P136" s="106"/>
      <c r="Q136" s="106"/>
      <c r="R136" s="106"/>
    </row>
    <row r="137" spans="1:18" ht="12.75">
      <c r="A137" s="112"/>
      <c r="B137" s="112"/>
      <c r="C137" s="117" t="s">
        <v>0</v>
      </c>
      <c r="D137" s="112"/>
      <c r="E137" s="112" t="e">
        <f>IF(E136&lt;641,(271*LN(E136)-1738.4)/(28.74-LN(E136)),(234*LN(E136)-1500.3)/(23.5-LN(E136)))</f>
        <v>#DIV/0!</v>
      </c>
      <c r="F137" s="112" t="e">
        <f aca="true" t="shared" si="95" ref="F137:N137">IF(F136&lt;641,(271*LN(F136)-1738.4)/(28.74-LN(F136)),(234*LN(F136)-1500.3)/(23.5-LN(F136)))</f>
        <v>#DIV/0!</v>
      </c>
      <c r="G137" s="112" t="e">
        <f t="shared" si="95"/>
        <v>#DIV/0!</v>
      </c>
      <c r="H137" s="112" t="e">
        <f t="shared" si="95"/>
        <v>#DIV/0!</v>
      </c>
      <c r="I137" s="112" t="e">
        <f t="shared" si="95"/>
        <v>#DIV/0!</v>
      </c>
      <c r="J137" s="112" t="e">
        <f t="shared" si="95"/>
        <v>#DIV/0!</v>
      </c>
      <c r="K137" s="112" t="e">
        <f t="shared" si="95"/>
        <v>#DIV/0!</v>
      </c>
      <c r="L137" s="112" t="e">
        <f t="shared" si="95"/>
        <v>#DIV/0!</v>
      </c>
      <c r="M137" s="112" t="e">
        <f t="shared" si="95"/>
        <v>#DIV/0!</v>
      </c>
      <c r="N137" s="112" t="e">
        <f t="shared" si="95"/>
        <v>#DIV/0!</v>
      </c>
      <c r="O137" s="112"/>
      <c r="P137" s="106"/>
      <c r="Q137" s="106"/>
      <c r="R137" s="106"/>
    </row>
    <row r="138" spans="1:18" ht="12.75">
      <c r="A138" s="112"/>
      <c r="B138" s="127" t="s">
        <v>70</v>
      </c>
      <c r="C138" s="117" t="s">
        <v>33</v>
      </c>
      <c r="D138" s="112"/>
      <c r="E138" s="112">
        <f>IF(E134=0,0,E137)</f>
        <v>0</v>
      </c>
      <c r="F138" s="112">
        <f aca="true" t="shared" si="96" ref="F138:N138">IF(F134=0,0,F137)</f>
        <v>0</v>
      </c>
      <c r="G138" s="112">
        <f t="shared" si="96"/>
        <v>0</v>
      </c>
      <c r="H138" s="112">
        <f t="shared" si="96"/>
        <v>0</v>
      </c>
      <c r="I138" s="112">
        <f t="shared" si="96"/>
        <v>0</v>
      </c>
      <c r="J138" s="112">
        <f t="shared" si="96"/>
        <v>0</v>
      </c>
      <c r="K138" s="112">
        <f t="shared" si="96"/>
        <v>0</v>
      </c>
      <c r="L138" s="112">
        <f t="shared" si="96"/>
        <v>0</v>
      </c>
      <c r="M138" s="112">
        <f t="shared" si="96"/>
        <v>0</v>
      </c>
      <c r="N138" s="112">
        <f t="shared" si="96"/>
        <v>0</v>
      </c>
      <c r="O138" s="112"/>
      <c r="P138" s="106"/>
      <c r="Q138" s="106"/>
      <c r="R138" s="106"/>
    </row>
    <row r="139" spans="1:18" ht="12.75">
      <c r="A139" s="112"/>
      <c r="B139" s="112"/>
      <c r="C139" s="117" t="s">
        <v>34</v>
      </c>
      <c r="D139" s="112"/>
      <c r="E139" s="112">
        <f>IF(E135=0,0,E135)</f>
        <v>0</v>
      </c>
      <c r="F139" s="112">
        <f aca="true" t="shared" si="97" ref="F139:N139">IF(F135=0,0,F135)</f>
        <v>0</v>
      </c>
      <c r="G139" s="112">
        <f t="shared" si="97"/>
        <v>0</v>
      </c>
      <c r="H139" s="112">
        <f t="shared" si="97"/>
        <v>0</v>
      </c>
      <c r="I139" s="112">
        <f t="shared" si="97"/>
        <v>0</v>
      </c>
      <c r="J139" s="112">
        <f t="shared" si="97"/>
        <v>0</v>
      </c>
      <c r="K139" s="112">
        <f t="shared" si="97"/>
        <v>0</v>
      </c>
      <c r="L139" s="112">
        <f t="shared" si="97"/>
        <v>0</v>
      </c>
      <c r="M139" s="112">
        <f t="shared" si="97"/>
        <v>0</v>
      </c>
      <c r="N139" s="112">
        <f t="shared" si="97"/>
        <v>0</v>
      </c>
      <c r="O139" s="112"/>
      <c r="P139" s="106"/>
      <c r="Q139" s="106"/>
      <c r="R139" s="106"/>
    </row>
    <row r="140" spans="1:18" ht="12.75">
      <c r="A140" s="112"/>
      <c r="B140" s="112"/>
      <c r="C140" s="117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06"/>
      <c r="Q140" s="106"/>
      <c r="R140" s="106"/>
    </row>
    <row r="141" spans="1:18" ht="12.75">
      <c r="A141" s="112"/>
      <c r="B141" s="118" t="s">
        <v>115</v>
      </c>
      <c r="C141" s="117" t="s">
        <v>32</v>
      </c>
      <c r="D141" s="112"/>
      <c r="E141" s="112">
        <f>IF(AND(E$93&lt;&gt;"",E$95&lt;&gt;""),MIN(E$93,MaxVlhkost),0)</f>
        <v>0</v>
      </c>
      <c r="F141" s="112">
        <f aca="true" t="shared" si="98" ref="F141:N141">IF(AND(F$93&lt;&gt;"",F$95&lt;&gt;""),MIN(F$93,MaxVlhkost),0)</f>
        <v>0</v>
      </c>
      <c r="G141" s="112">
        <f t="shared" si="98"/>
        <v>0</v>
      </c>
      <c r="H141" s="112">
        <f t="shared" si="98"/>
        <v>0</v>
      </c>
      <c r="I141" s="112">
        <f t="shared" si="98"/>
        <v>0</v>
      </c>
      <c r="J141" s="112">
        <f t="shared" si="98"/>
        <v>0</v>
      </c>
      <c r="K141" s="112">
        <f t="shared" si="98"/>
        <v>0</v>
      </c>
      <c r="L141" s="112">
        <f t="shared" si="98"/>
        <v>0</v>
      </c>
      <c r="M141" s="112">
        <f t="shared" si="98"/>
        <v>0</v>
      </c>
      <c r="N141" s="112">
        <f t="shared" si="98"/>
        <v>0</v>
      </c>
      <c r="O141" s="112"/>
      <c r="P141" s="106"/>
      <c r="Q141" s="106"/>
      <c r="R141" s="106"/>
    </row>
    <row r="142" spans="1:18" ht="12.75">
      <c r="A142" s="112"/>
      <c r="B142" s="112"/>
      <c r="C142" s="117" t="s">
        <v>3</v>
      </c>
      <c r="D142" s="112"/>
      <c r="E142" s="112">
        <f>IF(AND(E$93&lt;&gt;"",E$95&lt;&gt;""),E$95,0)</f>
        <v>0</v>
      </c>
      <c r="F142" s="112">
        <f aca="true" t="shared" si="99" ref="F142:N142">IF(AND(F$93&lt;&gt;"",F$95&lt;&gt;""),F$95,0)</f>
        <v>0</v>
      </c>
      <c r="G142" s="112">
        <f t="shared" si="99"/>
        <v>0</v>
      </c>
      <c r="H142" s="112">
        <f t="shared" si="99"/>
        <v>0</v>
      </c>
      <c r="I142" s="112">
        <f t="shared" si="99"/>
        <v>0</v>
      </c>
      <c r="J142" s="112">
        <f t="shared" si="99"/>
        <v>0</v>
      </c>
      <c r="K142" s="112">
        <f t="shared" si="99"/>
        <v>0</v>
      </c>
      <c r="L142" s="112">
        <f t="shared" si="99"/>
        <v>0</v>
      </c>
      <c r="M142" s="112">
        <f t="shared" si="99"/>
        <v>0</v>
      </c>
      <c r="N142" s="112">
        <f t="shared" si="99"/>
        <v>0</v>
      </c>
      <c r="O142" s="112"/>
      <c r="P142" s="106"/>
      <c r="Q142" s="106"/>
      <c r="R142" s="106"/>
    </row>
    <row r="143" spans="1:18" ht="12.75">
      <c r="A143" s="112"/>
      <c r="B143" s="112"/>
      <c r="C143" s="128" t="s">
        <v>0</v>
      </c>
      <c r="D143" s="112"/>
      <c r="E143" s="112">
        <v>0.0005792650228472473</v>
      </c>
      <c r="F143" s="112">
        <v>0.00032713249772620134</v>
      </c>
      <c r="G143" s="112">
        <v>0.0002614847727860567</v>
      </c>
      <c r="H143" s="112">
        <v>4.177066113051492E-05</v>
      </c>
      <c r="I143" s="112">
        <v>7.126290540621777E-05</v>
      </c>
      <c r="J143" s="112">
        <v>0.0005055282608719958</v>
      </c>
      <c r="K143" s="112">
        <v>0.0005055282608719958</v>
      </c>
      <c r="L143" s="112">
        <v>0.0005055282608719958</v>
      </c>
      <c r="M143" s="112">
        <v>0.0005055282608719958</v>
      </c>
      <c r="N143" s="112">
        <v>0.0005055282608719958</v>
      </c>
      <c r="O143" s="112"/>
      <c r="P143" s="106"/>
      <c r="Q143" s="106"/>
      <c r="R143" s="106"/>
    </row>
    <row r="144" spans="1:18" ht="12.75">
      <c r="A144" s="112"/>
      <c r="B144" s="112"/>
      <c r="C144" s="128" t="s">
        <v>31</v>
      </c>
      <c r="D144" s="112"/>
      <c r="E144" s="113">
        <f>IF(E143&lt;-50,#N/A,IF(E143&lt;0,EXP((1738.4+28.74*E143)/(271+E143)),IF(E143&lt;=100,EXP((1500.3+23.5*E143)/(234+E143)),#N/A)))</f>
        <v>608.8553772791045</v>
      </c>
      <c r="F144" s="113">
        <f aca="true" t="shared" si="100" ref="F144:N144">IF(F143&lt;-50,#N/A,IF(F143&lt;0,EXP((1738.4+28.74*F143)/(271+F143)),IF(F143&lt;=100,EXP((1500.3+23.5*F143)/(234+F143)),#N/A)))</f>
        <v>608.8441667929491</v>
      </c>
      <c r="G144" s="113">
        <f t="shared" si="100"/>
        <v>608.8412479494897</v>
      </c>
      <c r="H144" s="113">
        <f t="shared" si="100"/>
        <v>608.8314790626306</v>
      </c>
      <c r="I144" s="113">
        <f t="shared" si="100"/>
        <v>608.8327903331199</v>
      </c>
      <c r="J144" s="113">
        <f t="shared" si="100"/>
        <v>608.8520987266718</v>
      </c>
      <c r="K144" s="113">
        <f t="shared" si="100"/>
        <v>608.8520987266718</v>
      </c>
      <c r="L144" s="113">
        <f t="shared" si="100"/>
        <v>608.8520987266718</v>
      </c>
      <c r="M144" s="113">
        <f t="shared" si="100"/>
        <v>608.8520987266718</v>
      </c>
      <c r="N144" s="113">
        <f t="shared" si="100"/>
        <v>608.8520987266718</v>
      </c>
      <c r="O144" s="112"/>
      <c r="P144" s="106"/>
      <c r="Q144" s="106"/>
      <c r="R144" s="106"/>
    </row>
    <row r="145" spans="1:18" ht="12.75">
      <c r="A145" s="112"/>
      <c r="B145" s="112"/>
      <c r="C145" s="128" t="s">
        <v>37</v>
      </c>
      <c r="D145" s="112"/>
      <c r="E145" s="112">
        <f>0.6222*E141*E144/(Tlak_vzduchu-E141*E144/1000)</f>
        <v>0</v>
      </c>
      <c r="F145" s="112">
        <f aca="true" t="shared" si="101" ref="F145:N145">0.6222*F141*F144/(Tlak_vzduchu-F141*F144/1000)</f>
        <v>0</v>
      </c>
      <c r="G145" s="112">
        <f t="shared" si="101"/>
        <v>0</v>
      </c>
      <c r="H145" s="112">
        <f t="shared" si="101"/>
        <v>0</v>
      </c>
      <c r="I145" s="112">
        <f t="shared" si="101"/>
        <v>0</v>
      </c>
      <c r="J145" s="112">
        <f t="shared" si="101"/>
        <v>0</v>
      </c>
      <c r="K145" s="112">
        <f t="shared" si="101"/>
        <v>0</v>
      </c>
      <c r="L145" s="112">
        <f t="shared" si="101"/>
        <v>0</v>
      </c>
      <c r="M145" s="112">
        <f t="shared" si="101"/>
        <v>0</v>
      </c>
      <c r="N145" s="112">
        <f t="shared" si="101"/>
        <v>0</v>
      </c>
      <c r="O145" s="112"/>
      <c r="P145" s="106"/>
      <c r="Q145" s="106"/>
      <c r="R145" s="106"/>
    </row>
    <row r="146" spans="1:18" ht="12.75">
      <c r="A146" s="112"/>
      <c r="B146" s="112"/>
      <c r="C146" s="128" t="s">
        <v>38</v>
      </c>
      <c r="D146" s="112"/>
      <c r="E146" s="112">
        <f>(E142-1.01*E143)/(2501+1.86*E143)*1000</f>
        <v>-0.0002339293966543309</v>
      </c>
      <c r="F146" s="112">
        <f aca="true" t="shared" si="102" ref="F146:N146">(F142-1.01*F143)/(2501+1.86*F143)*1000</f>
        <v>-0.0001321086534665256</v>
      </c>
      <c r="G146" s="112">
        <f t="shared" si="102"/>
        <v>-0.00010559758862666812</v>
      </c>
      <c r="H146" s="112">
        <f t="shared" si="102"/>
        <v>-1.6868599132843162E-05</v>
      </c>
      <c r="I146" s="112">
        <f t="shared" si="102"/>
        <v>-2.8778700777965545E-05</v>
      </c>
      <c r="J146" s="112">
        <f t="shared" si="102"/>
        <v>-0.0002041516799362057</v>
      </c>
      <c r="K146" s="112">
        <f t="shared" si="102"/>
        <v>-0.0002041516799362057</v>
      </c>
      <c r="L146" s="112">
        <f t="shared" si="102"/>
        <v>-0.0002041516799362057</v>
      </c>
      <c r="M146" s="112">
        <f t="shared" si="102"/>
        <v>-0.0002041516799362057</v>
      </c>
      <c r="N146" s="112">
        <f t="shared" si="102"/>
        <v>-0.0002041516799362057</v>
      </c>
      <c r="O146" s="112"/>
      <c r="P146" s="106"/>
      <c r="Q146" s="106"/>
      <c r="R146" s="106"/>
    </row>
    <row r="147" spans="1:18" ht="12.75">
      <c r="A147" s="112"/>
      <c r="B147" s="112"/>
      <c r="C147" s="129" t="s">
        <v>39</v>
      </c>
      <c r="D147" s="112"/>
      <c r="E147" s="112">
        <f>E145-E146</f>
        <v>0.0002339293966543309</v>
      </c>
      <c r="F147" s="112">
        <f aca="true" t="shared" si="103" ref="F147:N147">F145-F146</f>
        <v>0.0001321086534665256</v>
      </c>
      <c r="G147" s="112">
        <f t="shared" si="103"/>
        <v>0.00010559758862666812</v>
      </c>
      <c r="H147" s="112">
        <f t="shared" si="103"/>
        <v>1.6868599132843162E-05</v>
      </c>
      <c r="I147" s="112">
        <f t="shared" si="103"/>
        <v>2.8778700777965545E-05</v>
      </c>
      <c r="J147" s="112">
        <f t="shared" si="103"/>
        <v>0.0002041516799362057</v>
      </c>
      <c r="K147" s="112">
        <f t="shared" si="103"/>
        <v>0.0002041516799362057</v>
      </c>
      <c r="L147" s="112">
        <f t="shared" si="103"/>
        <v>0.0002041516799362057</v>
      </c>
      <c r="M147" s="112">
        <f t="shared" si="103"/>
        <v>0.0002041516799362057</v>
      </c>
      <c r="N147" s="112">
        <f t="shared" si="103"/>
        <v>0.0002041516799362057</v>
      </c>
      <c r="O147" s="112"/>
      <c r="P147" s="106"/>
      <c r="Q147" s="106"/>
      <c r="R147" s="106"/>
    </row>
    <row r="148" spans="1:18" ht="12.75">
      <c r="A148" s="112"/>
      <c r="B148" s="127" t="s">
        <v>70</v>
      </c>
      <c r="C148" s="117" t="s">
        <v>33</v>
      </c>
      <c r="D148" s="112"/>
      <c r="E148" s="112">
        <f>IF(AND(E141=0,E142=0),0,E143)</f>
        <v>0</v>
      </c>
      <c r="F148" s="112">
        <f aca="true" t="shared" si="104" ref="F148:N148">IF(AND(F141=0,F142=0),0,F143)</f>
        <v>0</v>
      </c>
      <c r="G148" s="112">
        <f t="shared" si="104"/>
        <v>0</v>
      </c>
      <c r="H148" s="112">
        <f t="shared" si="104"/>
        <v>0</v>
      </c>
      <c r="I148" s="112">
        <f t="shared" si="104"/>
        <v>0</v>
      </c>
      <c r="J148" s="112">
        <f t="shared" si="104"/>
        <v>0</v>
      </c>
      <c r="K148" s="112">
        <f t="shared" si="104"/>
        <v>0</v>
      </c>
      <c r="L148" s="112">
        <f t="shared" si="104"/>
        <v>0</v>
      </c>
      <c r="M148" s="112">
        <f t="shared" si="104"/>
        <v>0</v>
      </c>
      <c r="N148" s="112">
        <f t="shared" si="104"/>
        <v>0</v>
      </c>
      <c r="O148" s="112"/>
      <c r="P148" s="106"/>
      <c r="Q148" s="106"/>
      <c r="R148" s="106"/>
    </row>
    <row r="149" spans="1:18" ht="12.75">
      <c r="A149" s="112"/>
      <c r="B149" s="112"/>
      <c r="C149" s="117" t="s">
        <v>34</v>
      </c>
      <c r="D149" s="112"/>
      <c r="E149" s="112">
        <f>IF(AND(E141=0,E142=0),0,E145)</f>
        <v>0</v>
      </c>
      <c r="F149" s="112">
        <f aca="true" t="shared" si="105" ref="F149:N149">IF(AND(F141=0,F142=0),0,F145)</f>
        <v>0</v>
      </c>
      <c r="G149" s="112">
        <f t="shared" si="105"/>
        <v>0</v>
      </c>
      <c r="H149" s="112">
        <f t="shared" si="105"/>
        <v>0</v>
      </c>
      <c r="I149" s="112">
        <f t="shared" si="105"/>
        <v>0</v>
      </c>
      <c r="J149" s="112">
        <f t="shared" si="105"/>
        <v>0</v>
      </c>
      <c r="K149" s="112">
        <f t="shared" si="105"/>
        <v>0</v>
      </c>
      <c r="L149" s="112">
        <f t="shared" si="105"/>
        <v>0</v>
      </c>
      <c r="M149" s="112">
        <f t="shared" si="105"/>
        <v>0</v>
      </c>
      <c r="N149" s="112">
        <f t="shared" si="105"/>
        <v>0</v>
      </c>
      <c r="O149" s="112"/>
      <c r="P149" s="106"/>
      <c r="Q149" s="106"/>
      <c r="R149" s="106"/>
    </row>
    <row r="150" spans="1:18" ht="12.75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06"/>
      <c r="Q150" s="106"/>
      <c r="R150" s="106"/>
    </row>
    <row r="151" spans="1:18" ht="12.75">
      <c r="A151" s="112"/>
      <c r="B151" s="130" t="s">
        <v>70</v>
      </c>
      <c r="C151" s="117" t="s">
        <v>33</v>
      </c>
      <c r="D151" s="112"/>
      <c r="E151" s="131">
        <f>E106+E114+E120+E131+E138+E148</f>
        <v>0</v>
      </c>
      <c r="F151" s="131">
        <f aca="true" t="shared" si="106" ref="F151:N151">F106+F114+F120+F131+F138+F148</f>
        <v>0</v>
      </c>
      <c r="G151" s="131">
        <f t="shared" si="106"/>
        <v>0</v>
      </c>
      <c r="H151" s="131">
        <f t="shared" si="106"/>
        <v>0</v>
      </c>
      <c r="I151" s="131">
        <f t="shared" si="106"/>
        <v>0</v>
      </c>
      <c r="J151" s="131">
        <f t="shared" si="106"/>
        <v>0</v>
      </c>
      <c r="K151" s="131">
        <f t="shared" si="106"/>
        <v>0</v>
      </c>
      <c r="L151" s="131">
        <f t="shared" si="106"/>
        <v>0</v>
      </c>
      <c r="M151" s="131">
        <f t="shared" si="106"/>
        <v>0</v>
      </c>
      <c r="N151" s="131">
        <f t="shared" si="106"/>
        <v>0</v>
      </c>
      <c r="O151" s="112"/>
      <c r="P151" s="106"/>
      <c r="Q151" s="106"/>
      <c r="R151" s="106"/>
    </row>
    <row r="152" spans="1:18" ht="12.75">
      <c r="A152" s="112"/>
      <c r="B152" s="112"/>
      <c r="C152" s="117" t="s">
        <v>34</v>
      </c>
      <c r="D152" s="112"/>
      <c r="E152" s="131">
        <f>E107+E115+E121+E132+E139+E149</f>
        <v>0</v>
      </c>
      <c r="F152" s="131">
        <f aca="true" t="shared" si="107" ref="F152:N152">IF(F14="-",E152,F107+F115+F121+F132+F139+F149)</f>
        <v>0</v>
      </c>
      <c r="G152" s="131">
        <f t="shared" si="107"/>
        <v>0</v>
      </c>
      <c r="H152" s="131">
        <f t="shared" si="107"/>
        <v>0</v>
      </c>
      <c r="I152" s="131">
        <f t="shared" si="107"/>
        <v>0</v>
      </c>
      <c r="J152" s="131">
        <f t="shared" si="107"/>
        <v>0</v>
      </c>
      <c r="K152" s="131">
        <f t="shared" si="107"/>
        <v>0</v>
      </c>
      <c r="L152" s="131">
        <f t="shared" si="107"/>
        <v>0</v>
      </c>
      <c r="M152" s="131">
        <f t="shared" si="107"/>
        <v>0</v>
      </c>
      <c r="N152" s="131">
        <f t="shared" si="107"/>
        <v>0</v>
      </c>
      <c r="O152" s="112"/>
      <c r="P152" s="106"/>
      <c r="Q152" s="106"/>
      <c r="R152" s="106"/>
    </row>
    <row r="153" spans="1:18" ht="12.75">
      <c r="A153" s="112"/>
      <c r="B153" s="112"/>
      <c r="C153" s="117" t="s">
        <v>8</v>
      </c>
      <c r="D153" s="112"/>
      <c r="E153" s="131" t="e">
        <f>(E19-E152*2.501)/1.01</f>
        <v>#VALUE!</v>
      </c>
      <c r="F153" s="131" t="e">
        <f aca="true" t="shared" si="108" ref="F153:N153">IF(F14="-",E153,(F19-F152*2.501)/1.01)</f>
        <v>#VALUE!</v>
      </c>
      <c r="G153" s="131" t="e">
        <f t="shared" si="108"/>
        <v>#VALUE!</v>
      </c>
      <c r="H153" s="131" t="e">
        <f t="shared" si="108"/>
        <v>#VALUE!</v>
      </c>
      <c r="I153" s="131" t="e">
        <f t="shared" si="108"/>
        <v>#VALUE!</v>
      </c>
      <c r="J153" s="131" t="e">
        <f t="shared" si="108"/>
        <v>#VALUE!</v>
      </c>
      <c r="K153" s="131" t="e">
        <f t="shared" si="108"/>
        <v>#VALUE!</v>
      </c>
      <c r="L153" s="131" t="e">
        <f t="shared" si="108"/>
        <v>#VALUE!</v>
      </c>
      <c r="M153" s="131" t="e">
        <f t="shared" si="108"/>
        <v>#VALUE!</v>
      </c>
      <c r="N153" s="131" t="e">
        <f t="shared" si="108"/>
        <v>#VALUE!</v>
      </c>
      <c r="O153" s="112"/>
      <c r="P153" s="106"/>
      <c r="Q153" s="106"/>
      <c r="R153" s="106"/>
    </row>
    <row r="154" spans="1:18" ht="12.75">
      <c r="A154" s="112"/>
      <c r="B154" s="112"/>
      <c r="C154" s="116" t="s">
        <v>31</v>
      </c>
      <c r="D154" s="112"/>
      <c r="E154" s="132">
        <f>IF(E151&lt;-50,#N/A,IF(E151&lt;0,EXP((1738.4+28.74*E151)/(271+E151)),IF(E151&lt;=100,EXP((1500.3+23.5*E151)/(234+E151)),#N/A)))</f>
        <v>608.8296218791319</v>
      </c>
      <c r="F154" s="132">
        <f aca="true" t="shared" si="109" ref="F154:N154">IF(F151&lt;-50,#N/A,IF(F151&lt;0,EXP((1738.4+28.74*F151)/(271+F151)),IF(F151&lt;=100,EXP((1500.3+23.5*F151)/(234+F151)),#N/A)))</f>
        <v>608.8296218791319</v>
      </c>
      <c r="G154" s="132">
        <f t="shared" si="109"/>
        <v>608.8296218791319</v>
      </c>
      <c r="H154" s="132">
        <f t="shared" si="109"/>
        <v>608.8296218791319</v>
      </c>
      <c r="I154" s="132">
        <f t="shared" si="109"/>
        <v>608.8296218791319</v>
      </c>
      <c r="J154" s="132">
        <f t="shared" si="109"/>
        <v>608.8296218791319</v>
      </c>
      <c r="K154" s="132">
        <f t="shared" si="109"/>
        <v>608.8296218791319</v>
      </c>
      <c r="L154" s="132">
        <f t="shared" si="109"/>
        <v>608.8296218791319</v>
      </c>
      <c r="M154" s="132">
        <f t="shared" si="109"/>
        <v>608.8296218791319</v>
      </c>
      <c r="N154" s="132">
        <f t="shared" si="109"/>
        <v>608.8296218791319</v>
      </c>
      <c r="O154" s="112"/>
      <c r="P154" s="106"/>
      <c r="Q154" s="106"/>
      <c r="R154" s="106"/>
    </row>
    <row r="155" spans="1:18" ht="12.75">
      <c r="A155" s="112"/>
      <c r="B155" s="112"/>
      <c r="C155" s="112" t="s">
        <v>3</v>
      </c>
      <c r="D155" s="112"/>
      <c r="E155" s="131">
        <f>1.01*E151+(2501+1.86*E151)*E152/1000</f>
        <v>0</v>
      </c>
      <c r="F155" s="131">
        <f aca="true" t="shared" si="110" ref="F155:N155">1.01*F151+(2501+1.86*F151)*F152/1000</f>
        <v>0</v>
      </c>
      <c r="G155" s="131">
        <f t="shared" si="110"/>
        <v>0</v>
      </c>
      <c r="H155" s="131">
        <f t="shared" si="110"/>
        <v>0</v>
      </c>
      <c r="I155" s="131">
        <f t="shared" si="110"/>
        <v>0</v>
      </c>
      <c r="J155" s="131">
        <f t="shared" si="110"/>
        <v>0</v>
      </c>
      <c r="K155" s="131">
        <f t="shared" si="110"/>
        <v>0</v>
      </c>
      <c r="L155" s="131">
        <f t="shared" si="110"/>
        <v>0</v>
      </c>
      <c r="M155" s="131">
        <f t="shared" si="110"/>
        <v>0</v>
      </c>
      <c r="N155" s="131">
        <f t="shared" si="110"/>
        <v>0</v>
      </c>
      <c r="O155" s="112"/>
      <c r="P155" s="106"/>
      <c r="Q155" s="106"/>
      <c r="R155" s="106"/>
    </row>
    <row r="156" spans="1:18" ht="38.25">
      <c r="A156" s="112"/>
      <c r="B156" s="135" t="s">
        <v>118</v>
      </c>
      <c r="C156" s="128" t="s">
        <v>0</v>
      </c>
      <c r="D156" s="112"/>
      <c r="E156" s="112">
        <v>-6.00272972208199</v>
      </c>
      <c r="F156" s="112">
        <v>-6.002370604203432</v>
      </c>
      <c r="G156" s="112">
        <v>-6.002308695557132</v>
      </c>
      <c r="H156" s="112">
        <v>-6.002308695556464</v>
      </c>
      <c r="I156" s="112">
        <v>-6.002308695556462</v>
      </c>
      <c r="J156" s="112">
        <v>-6.002308695556464</v>
      </c>
      <c r="K156" s="112">
        <v>-6.002308695556464</v>
      </c>
      <c r="L156" s="112">
        <v>-6.002308695556464</v>
      </c>
      <c r="M156" s="112">
        <v>-6.002308695556464</v>
      </c>
      <c r="N156" s="112">
        <v>-6.002308695556464</v>
      </c>
      <c r="O156" s="112"/>
      <c r="P156" s="106"/>
      <c r="Q156" s="106"/>
      <c r="R156" s="106"/>
    </row>
    <row r="157" spans="1:18" ht="12.75">
      <c r="A157" s="111"/>
      <c r="B157" s="111"/>
      <c r="C157" s="128" t="s">
        <v>31</v>
      </c>
      <c r="D157" s="111"/>
      <c r="E157" s="113">
        <f>IF(E156&lt;-50,#N/A,IF(E156&lt;0,EXP((1738.4+28.74*E156)/(271+E156)),IF(E156&lt;=100,EXP((1500.3+23.5*E156)/(234+E156)),#N/A)))</f>
        <v>368.3552555810676</v>
      </c>
      <c r="F157" s="113">
        <f aca="true" t="shared" si="111" ref="F157:N157">IF(F156&lt;-50,#N/A,IF(F156&lt;0,EXP((1738.4+28.74*F156)/(271+F156)),IF(F156&lt;=100,EXP((1500.3+23.5*F156)/(234+F156)),#N/A)))</f>
        <v>368.3666526362525</v>
      </c>
      <c r="G157" s="113">
        <f t="shared" si="111"/>
        <v>368.368617417113</v>
      </c>
      <c r="H157" s="113">
        <f t="shared" si="111"/>
        <v>368.368617417134</v>
      </c>
      <c r="I157" s="113">
        <f t="shared" si="111"/>
        <v>368.368617417134</v>
      </c>
      <c r="J157" s="113">
        <f t="shared" si="111"/>
        <v>368.368617417134</v>
      </c>
      <c r="K157" s="113">
        <f t="shared" si="111"/>
        <v>368.368617417134</v>
      </c>
      <c r="L157" s="113">
        <f t="shared" si="111"/>
        <v>368.368617417134</v>
      </c>
      <c r="M157" s="113">
        <f t="shared" si="111"/>
        <v>368.368617417134</v>
      </c>
      <c r="N157" s="113">
        <f t="shared" si="111"/>
        <v>368.368617417134</v>
      </c>
      <c r="O157" s="112"/>
      <c r="P157" s="106"/>
      <c r="Q157" s="106"/>
      <c r="R157" s="106"/>
    </row>
    <row r="158" spans="1:18" ht="12.75">
      <c r="A158" s="111"/>
      <c r="B158" s="111"/>
      <c r="C158" s="128" t="s">
        <v>37</v>
      </c>
      <c r="D158" s="111"/>
      <c r="E158" s="111">
        <f>0.6222*E157/(Tlak_vzduchu-E157/1000)</f>
        <v>2.434788435332518</v>
      </c>
      <c r="F158" s="111">
        <f aca="true" t="shared" si="112" ref="F158:N158">0.6222*F157/(Tlak_vzduchu-F157/1000)</f>
        <v>2.434864063438619</v>
      </c>
      <c r="G158" s="111">
        <f t="shared" si="112"/>
        <v>2.4348771012518142</v>
      </c>
      <c r="H158" s="111">
        <f t="shared" si="112"/>
        <v>2.434877101251953</v>
      </c>
      <c r="I158" s="111">
        <f t="shared" si="112"/>
        <v>2.434877101251953</v>
      </c>
      <c r="J158" s="111">
        <f t="shared" si="112"/>
        <v>2.434877101251953</v>
      </c>
      <c r="K158" s="111">
        <f t="shared" si="112"/>
        <v>2.434877101251953</v>
      </c>
      <c r="L158" s="111">
        <f t="shared" si="112"/>
        <v>2.434877101251953</v>
      </c>
      <c r="M158" s="111">
        <f t="shared" si="112"/>
        <v>2.434877101251953</v>
      </c>
      <c r="N158" s="111">
        <f t="shared" si="112"/>
        <v>2.434877101251953</v>
      </c>
      <c r="O158" s="112"/>
      <c r="P158" s="106"/>
      <c r="Q158" s="106"/>
      <c r="R158" s="106"/>
    </row>
    <row r="159" spans="1:18" ht="12.75">
      <c r="A159" s="111"/>
      <c r="B159" s="111"/>
      <c r="C159" s="128" t="s">
        <v>38</v>
      </c>
      <c r="D159" s="111"/>
      <c r="E159" s="111">
        <f>(E155-1.01*E156)/(2501+1.86*E156)*1000</f>
        <v>2.435003607663709</v>
      </c>
      <c r="F159" s="111">
        <f aca="true" t="shared" si="113" ref="F159:N159">(F155-1.01*F156)/(2501+1.86*F156)*1000</f>
        <v>2.434857278507719</v>
      </c>
      <c r="G159" s="111">
        <f t="shared" si="113"/>
        <v>2.434832052704012</v>
      </c>
      <c r="H159" s="111">
        <f t="shared" si="113"/>
        <v>2.4348320527037393</v>
      </c>
      <c r="I159" s="111">
        <f t="shared" si="113"/>
        <v>2.434832052703739</v>
      </c>
      <c r="J159" s="111">
        <f t="shared" si="113"/>
        <v>2.4348320527037393</v>
      </c>
      <c r="K159" s="111">
        <f t="shared" si="113"/>
        <v>2.4348320527037393</v>
      </c>
      <c r="L159" s="111">
        <f t="shared" si="113"/>
        <v>2.4348320527037393</v>
      </c>
      <c r="M159" s="111">
        <f t="shared" si="113"/>
        <v>2.4348320527037393</v>
      </c>
      <c r="N159" s="111">
        <f t="shared" si="113"/>
        <v>2.4348320527037393</v>
      </c>
      <c r="O159" s="112"/>
      <c r="P159" s="106"/>
      <c r="Q159" s="106"/>
      <c r="R159" s="106"/>
    </row>
    <row r="160" spans="1:18" ht="12.75">
      <c r="A160" s="111"/>
      <c r="B160" s="111"/>
      <c r="C160" s="129" t="s">
        <v>39</v>
      </c>
      <c r="D160" s="111"/>
      <c r="E160" s="111">
        <f>E158-E159</f>
        <v>-0.00021517233119094925</v>
      </c>
      <c r="F160" s="111">
        <f aca="true" t="shared" si="114" ref="F160:N160">F158-F159</f>
        <v>6.784930899783603E-06</v>
      </c>
      <c r="G160" s="111">
        <f t="shared" si="114"/>
        <v>4.50485478022955E-05</v>
      </c>
      <c r="H160" s="111">
        <f t="shared" si="114"/>
        <v>4.504854821352211E-05</v>
      </c>
      <c r="I160" s="111">
        <f t="shared" si="114"/>
        <v>4.50485482139662E-05</v>
      </c>
      <c r="J160" s="111">
        <f t="shared" si="114"/>
        <v>4.504854821352211E-05</v>
      </c>
      <c r="K160" s="111">
        <f t="shared" si="114"/>
        <v>4.504854821352211E-05</v>
      </c>
      <c r="L160" s="111">
        <f t="shared" si="114"/>
        <v>4.504854821352211E-05</v>
      </c>
      <c r="M160" s="111">
        <f t="shared" si="114"/>
        <v>4.504854821352211E-05</v>
      </c>
      <c r="N160" s="111">
        <f t="shared" si="114"/>
        <v>4.504854821352211E-05</v>
      </c>
      <c r="O160" s="112"/>
      <c r="P160" s="106"/>
      <c r="Q160" s="106"/>
      <c r="R160" s="106"/>
    </row>
    <row r="161" spans="1:18" ht="12.75">
      <c r="A161" s="111"/>
      <c r="B161" s="111" t="s">
        <v>49</v>
      </c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2"/>
      <c r="P161" s="106"/>
      <c r="Q161" s="106"/>
      <c r="R161" s="106"/>
    </row>
    <row r="162" spans="1:18" ht="12.75">
      <c r="A162" s="111"/>
      <c r="B162" s="111" t="s">
        <v>50</v>
      </c>
      <c r="C162" s="111">
        <v>1</v>
      </c>
      <c r="D162" s="111" t="s">
        <v>2</v>
      </c>
      <c r="E162" s="111">
        <f>IF(E$14="",E$152,-1)</f>
        <v>-1</v>
      </c>
      <c r="F162" s="111"/>
      <c r="G162" s="111"/>
      <c r="H162" s="111"/>
      <c r="I162" s="111"/>
      <c r="J162" s="111"/>
      <c r="K162" s="111"/>
      <c r="L162" s="111"/>
      <c r="M162" s="111"/>
      <c r="N162" s="111"/>
      <c r="O162" s="112"/>
      <c r="P162" s="106"/>
      <c r="Q162" s="106"/>
      <c r="R162" s="106"/>
    </row>
    <row r="163" spans="1:18" ht="12.75">
      <c r="A163" s="111"/>
      <c r="B163" s="111"/>
      <c r="C163" s="111"/>
      <c r="D163" s="111" t="s">
        <v>8</v>
      </c>
      <c r="E163" s="111">
        <f>IF(E$14="",E$153,0)</f>
        <v>0</v>
      </c>
      <c r="F163" s="111"/>
      <c r="G163" s="111"/>
      <c r="H163" s="111"/>
      <c r="I163" s="111"/>
      <c r="J163" s="111"/>
      <c r="K163" s="111"/>
      <c r="L163" s="111"/>
      <c r="M163" s="111"/>
      <c r="N163" s="111"/>
      <c r="O163" s="112"/>
      <c r="P163" s="106"/>
      <c r="Q163" s="106"/>
      <c r="R163" s="106"/>
    </row>
    <row r="164" spans="1:18" ht="12.75">
      <c r="A164" s="111"/>
      <c r="B164" s="111"/>
      <c r="C164" s="111">
        <f>C162+1</f>
        <v>2</v>
      </c>
      <c r="D164" s="111" t="s">
        <v>2</v>
      </c>
      <c r="E164" s="111">
        <f>IF(F$28&lt;&gt;0,E$152,F164)</f>
        <v>-1</v>
      </c>
      <c r="F164" s="111">
        <f>IF(F$14="",F$152,-1)</f>
        <v>-1</v>
      </c>
      <c r="G164" s="111"/>
      <c r="H164" s="111"/>
      <c r="I164" s="111"/>
      <c r="J164" s="111"/>
      <c r="K164" s="111"/>
      <c r="L164" s="111"/>
      <c r="M164" s="111"/>
      <c r="N164" s="111"/>
      <c r="O164" s="112"/>
      <c r="P164" s="106"/>
      <c r="Q164" s="106"/>
      <c r="R164" s="106"/>
    </row>
    <row r="165" spans="1:18" ht="12.75">
      <c r="A165" s="111"/>
      <c r="B165" s="111"/>
      <c r="C165" s="111"/>
      <c r="D165" s="111" t="s">
        <v>8</v>
      </c>
      <c r="E165" s="111">
        <f>IF(F$28&lt;&gt;0,E$153,F165)</f>
        <v>0</v>
      </c>
      <c r="F165" s="111">
        <f>IF(F$14="",F$153,0)</f>
        <v>0</v>
      </c>
      <c r="G165" s="111"/>
      <c r="H165" s="111"/>
      <c r="I165" s="111"/>
      <c r="J165" s="111"/>
      <c r="K165" s="111"/>
      <c r="L165" s="111"/>
      <c r="M165" s="111"/>
      <c r="N165" s="111"/>
      <c r="O165" s="112"/>
      <c r="P165" s="106"/>
      <c r="Q165" s="106"/>
      <c r="R165" s="106"/>
    </row>
    <row r="166" spans="1:18" ht="12.75">
      <c r="A166" s="111"/>
      <c r="B166" s="111"/>
      <c r="C166" s="111">
        <f>C164+1</f>
        <v>3</v>
      </c>
      <c r="D166" s="111" t="s">
        <v>2</v>
      </c>
      <c r="E166" s="111"/>
      <c r="F166" s="111">
        <f>IF(G$28&lt;&gt;0,F$152,G166)</f>
        <v>-1</v>
      </c>
      <c r="G166" s="111">
        <f>IF(G$14="",G$152,-1)</f>
        <v>-1</v>
      </c>
      <c r="H166" s="111">
        <f>IF(G$28=5,E$152,G166)</f>
        <v>-1</v>
      </c>
      <c r="I166" s="111"/>
      <c r="J166" s="111"/>
      <c r="K166" s="111"/>
      <c r="L166" s="111"/>
      <c r="M166" s="111"/>
      <c r="N166" s="111"/>
      <c r="O166" s="112"/>
      <c r="P166" s="106"/>
      <c r="Q166" s="106"/>
      <c r="R166" s="106"/>
    </row>
    <row r="167" spans="1:18" ht="12.75">
      <c r="A167" s="111"/>
      <c r="B167" s="111"/>
      <c r="C167" s="111"/>
      <c r="D167" s="111" t="s">
        <v>8</v>
      </c>
      <c r="E167" s="111"/>
      <c r="F167" s="111">
        <f>IF(G$28&lt;&gt;0,F$153,G167)</f>
        <v>0</v>
      </c>
      <c r="G167" s="111">
        <f>IF(G$14="",G$153,0)</f>
        <v>0</v>
      </c>
      <c r="H167" s="111">
        <f>IF(G$28=5,E$153,G167)</f>
        <v>0</v>
      </c>
      <c r="I167" s="111"/>
      <c r="J167" s="111"/>
      <c r="K167" s="111"/>
      <c r="L167" s="111"/>
      <c r="M167" s="111"/>
      <c r="N167" s="111"/>
      <c r="O167" s="112"/>
      <c r="P167" s="106"/>
      <c r="Q167" s="106"/>
      <c r="R167" s="106"/>
    </row>
    <row r="168" spans="1:18" ht="12.75">
      <c r="A168" s="111"/>
      <c r="B168" s="111"/>
      <c r="C168" s="111">
        <f>C166+1</f>
        <v>4</v>
      </c>
      <c r="D168" s="111" t="s">
        <v>2</v>
      </c>
      <c r="E168" s="111"/>
      <c r="F168" s="111"/>
      <c r="G168" s="111">
        <f>IF(H$28&lt;&gt;0,G$152,H168)</f>
        <v>-1</v>
      </c>
      <c r="H168" s="111">
        <f>IF(H$14="",H$152,-1)</f>
        <v>-1</v>
      </c>
      <c r="I168" s="111">
        <f>IF(H$28=5,F$152,H168)</f>
        <v>-1</v>
      </c>
      <c r="J168" s="111"/>
      <c r="K168" s="111"/>
      <c r="L168" s="111"/>
      <c r="M168" s="111"/>
      <c r="N168" s="111"/>
      <c r="O168" s="112"/>
      <c r="P168" s="106"/>
      <c r="Q168" s="106"/>
      <c r="R168" s="106"/>
    </row>
    <row r="169" spans="1:18" ht="12.75">
      <c r="A169" s="111"/>
      <c r="B169" s="111"/>
      <c r="C169" s="111"/>
      <c r="D169" s="111" t="s">
        <v>8</v>
      </c>
      <c r="E169" s="111"/>
      <c r="F169" s="111"/>
      <c r="G169" s="111">
        <f>IF(H$28&lt;&gt;0,G$153,H169)</f>
        <v>0</v>
      </c>
      <c r="H169" s="111">
        <f>IF(H$14="",H$153,0)</f>
        <v>0</v>
      </c>
      <c r="I169" s="111">
        <f>IF(H$28=5,F$153,H169)</f>
        <v>0</v>
      </c>
      <c r="J169" s="111"/>
      <c r="K169" s="111"/>
      <c r="L169" s="111"/>
      <c r="M169" s="111"/>
      <c r="N169" s="111"/>
      <c r="O169" s="112"/>
      <c r="P169" s="106"/>
      <c r="Q169" s="106"/>
      <c r="R169" s="106"/>
    </row>
    <row r="170" spans="1:18" ht="12.75">
      <c r="A170" s="111"/>
      <c r="B170" s="111"/>
      <c r="C170" s="111">
        <f>C168+1</f>
        <v>5</v>
      </c>
      <c r="D170" s="111" t="s">
        <v>2</v>
      </c>
      <c r="E170" s="111"/>
      <c r="F170" s="111"/>
      <c r="G170" s="111"/>
      <c r="H170" s="111">
        <f>IF(I$28&lt;&gt;0,H$152,I170)</f>
        <v>-1</v>
      </c>
      <c r="I170" s="111">
        <f>IF(I$14="",I$152,-1)</f>
        <v>-1</v>
      </c>
      <c r="J170" s="111">
        <f>IF(I$28=5,G$152,I170)</f>
        <v>-1</v>
      </c>
      <c r="K170" s="111"/>
      <c r="L170" s="111"/>
      <c r="M170" s="111"/>
      <c r="N170" s="111"/>
      <c r="O170" s="112"/>
      <c r="P170" s="106"/>
      <c r="Q170" s="106"/>
      <c r="R170" s="106"/>
    </row>
    <row r="171" spans="1:18" ht="12.75">
      <c r="A171" s="111"/>
      <c r="B171" s="111"/>
      <c r="C171" s="111"/>
      <c r="D171" s="111" t="s">
        <v>8</v>
      </c>
      <c r="E171" s="111"/>
      <c r="F171" s="111"/>
      <c r="G171" s="111"/>
      <c r="H171" s="111">
        <f>IF(I$28&lt;&gt;0,H$153,I171)</f>
        <v>0</v>
      </c>
      <c r="I171" s="111">
        <f>IF(I$14="",I$153,0)</f>
        <v>0</v>
      </c>
      <c r="J171" s="111">
        <f>IF(I$28=5,G$153,I171)</f>
        <v>0</v>
      </c>
      <c r="K171" s="111"/>
      <c r="L171" s="111"/>
      <c r="M171" s="111"/>
      <c r="N171" s="111"/>
      <c r="O171" s="112"/>
      <c r="P171" s="106"/>
      <c r="Q171" s="106"/>
      <c r="R171" s="106"/>
    </row>
    <row r="172" spans="1:18" ht="12.75">
      <c r="A172" s="111"/>
      <c r="B172" s="111"/>
      <c r="C172" s="111">
        <f>C170+1</f>
        <v>6</v>
      </c>
      <c r="D172" s="111" t="s">
        <v>2</v>
      </c>
      <c r="E172" s="111"/>
      <c r="F172" s="111"/>
      <c r="G172" s="111"/>
      <c r="H172" s="111"/>
      <c r="I172" s="111">
        <f>IF(J$28&lt;&gt;0,I$152,J172)</f>
        <v>-1</v>
      </c>
      <c r="J172" s="111">
        <f>IF(J$14="",J$152,-1)</f>
        <v>-1</v>
      </c>
      <c r="K172" s="111">
        <f>IF(J$28=5,H$152,J172)</f>
        <v>-1</v>
      </c>
      <c r="L172" s="111"/>
      <c r="M172" s="111"/>
      <c r="N172" s="111"/>
      <c r="O172" s="112"/>
      <c r="P172" s="106"/>
      <c r="Q172" s="106"/>
      <c r="R172" s="106"/>
    </row>
    <row r="173" spans="1:18" ht="12.75">
      <c r="A173" s="111"/>
      <c r="B173" s="111"/>
      <c r="C173" s="111"/>
      <c r="D173" s="111" t="s">
        <v>8</v>
      </c>
      <c r="E173" s="111"/>
      <c r="F173" s="111"/>
      <c r="G173" s="111"/>
      <c r="H173" s="111"/>
      <c r="I173" s="111">
        <f>IF(J$28&lt;&gt;0,I$153,J173)</f>
        <v>0</v>
      </c>
      <c r="J173" s="111">
        <f>IF(J$14="",J$153,0)</f>
        <v>0</v>
      </c>
      <c r="K173" s="111">
        <f>IF(J$28=5,H$153,J173)</f>
        <v>0</v>
      </c>
      <c r="L173" s="111"/>
      <c r="M173" s="111"/>
      <c r="N173" s="111"/>
      <c r="O173" s="112"/>
      <c r="P173" s="106"/>
      <c r="Q173" s="106"/>
      <c r="R173" s="106"/>
    </row>
    <row r="174" spans="1:18" ht="12.75">
      <c r="A174" s="111"/>
      <c r="B174" s="111"/>
      <c r="C174" s="111">
        <f>C172+1</f>
        <v>7</v>
      </c>
      <c r="D174" s="111" t="s">
        <v>2</v>
      </c>
      <c r="E174" s="111"/>
      <c r="F174" s="111"/>
      <c r="G174" s="111"/>
      <c r="H174" s="111"/>
      <c r="I174" s="111"/>
      <c r="J174" s="111">
        <f>IF(K$28&lt;&gt;0,J$152,K174)</f>
        <v>-1</v>
      </c>
      <c r="K174" s="111">
        <f>IF(K$14="",K$152,-1)</f>
        <v>-1</v>
      </c>
      <c r="L174" s="111">
        <f>IF(K$28=5,I$152,K174)</f>
        <v>-1</v>
      </c>
      <c r="M174" s="111"/>
      <c r="N174" s="111"/>
      <c r="O174" s="112"/>
      <c r="P174" s="106"/>
      <c r="Q174" s="106"/>
      <c r="R174" s="106"/>
    </row>
    <row r="175" spans="1:18" ht="12.75">
      <c r="A175" s="111"/>
      <c r="B175" s="111"/>
      <c r="C175" s="111"/>
      <c r="D175" s="111" t="s">
        <v>8</v>
      </c>
      <c r="E175" s="111"/>
      <c r="F175" s="111"/>
      <c r="G175" s="111"/>
      <c r="H175" s="111"/>
      <c r="I175" s="111"/>
      <c r="J175" s="111">
        <f>IF(K$28&lt;&gt;0,J$153,K175)</f>
        <v>0</v>
      </c>
      <c r="K175" s="111">
        <f>IF(K$14="",K$153,0)</f>
        <v>0</v>
      </c>
      <c r="L175" s="111">
        <f>IF(K$28=5,I$153,K175)</f>
        <v>0</v>
      </c>
      <c r="M175" s="111"/>
      <c r="N175" s="111"/>
      <c r="O175" s="112"/>
      <c r="P175" s="106"/>
      <c r="Q175" s="106"/>
      <c r="R175" s="106"/>
    </row>
    <row r="176" spans="1:18" ht="12.75">
      <c r="A176" s="111"/>
      <c r="B176" s="111"/>
      <c r="C176" s="111">
        <f>C174+1</f>
        <v>8</v>
      </c>
      <c r="D176" s="111" t="s">
        <v>2</v>
      </c>
      <c r="E176" s="111"/>
      <c r="F176" s="111"/>
      <c r="G176" s="111"/>
      <c r="H176" s="111"/>
      <c r="I176" s="111"/>
      <c r="J176" s="111"/>
      <c r="K176" s="111">
        <f>IF(L$28&lt;&gt;0,K$152,L176)</f>
        <v>-1</v>
      </c>
      <c r="L176" s="111">
        <f>IF(L$14="",L$152,-1)</f>
        <v>-1</v>
      </c>
      <c r="M176" s="111">
        <f>IF(L$28=5,J$152,L176)</f>
        <v>-1</v>
      </c>
      <c r="N176" s="111"/>
      <c r="O176" s="112"/>
      <c r="P176" s="106"/>
      <c r="Q176" s="106"/>
      <c r="R176" s="106"/>
    </row>
    <row r="177" spans="1:18" ht="12.75">
      <c r="A177" s="111"/>
      <c r="B177" s="111"/>
      <c r="C177" s="111"/>
      <c r="D177" s="111" t="s">
        <v>8</v>
      </c>
      <c r="E177" s="111"/>
      <c r="F177" s="111"/>
      <c r="G177" s="111"/>
      <c r="H177" s="111"/>
      <c r="I177" s="111"/>
      <c r="J177" s="111"/>
      <c r="K177" s="111">
        <f>IF(L$28&lt;&gt;0,K$153,L177)</f>
        <v>0</v>
      </c>
      <c r="L177" s="111">
        <f>IF(L$14="",L$153,0)</f>
        <v>0</v>
      </c>
      <c r="M177" s="111">
        <f>IF(L$28=5,J$153,L177)</f>
        <v>0</v>
      </c>
      <c r="N177" s="111"/>
      <c r="O177" s="112"/>
      <c r="P177" s="106"/>
      <c r="Q177" s="106"/>
      <c r="R177" s="106"/>
    </row>
    <row r="178" spans="1:18" ht="12.75">
      <c r="A178" s="111"/>
      <c r="B178" s="111"/>
      <c r="C178" s="111">
        <f>C176+1</f>
        <v>9</v>
      </c>
      <c r="D178" s="111" t="s">
        <v>2</v>
      </c>
      <c r="E178" s="111"/>
      <c r="F178" s="111"/>
      <c r="G178" s="111"/>
      <c r="H178" s="111"/>
      <c r="I178" s="111"/>
      <c r="J178" s="111"/>
      <c r="K178" s="111"/>
      <c r="L178" s="111">
        <f>IF(M$28&lt;&gt;0,L$152,M178)</f>
        <v>-1</v>
      </c>
      <c r="M178" s="111">
        <f>IF(M$14="",M$152,-1)</f>
        <v>-1</v>
      </c>
      <c r="N178" s="111">
        <f>IF(M$28=5,K$152,M178)</f>
        <v>-1</v>
      </c>
      <c r="O178" s="112"/>
      <c r="P178" s="106"/>
      <c r="Q178" s="106"/>
      <c r="R178" s="106"/>
    </row>
    <row r="179" spans="1:18" ht="12.75">
      <c r="A179" s="111"/>
      <c r="B179" s="111"/>
      <c r="C179" s="111"/>
      <c r="D179" s="111" t="s">
        <v>8</v>
      </c>
      <c r="E179" s="111"/>
      <c r="F179" s="111"/>
      <c r="G179" s="111"/>
      <c r="H179" s="111"/>
      <c r="I179" s="111"/>
      <c r="J179" s="111"/>
      <c r="K179" s="111"/>
      <c r="L179" s="111">
        <f>IF(M$28&lt;&gt;0,L$153,M179)</f>
        <v>0</v>
      </c>
      <c r="M179" s="111">
        <f>IF(M$14="",M$153,0)</f>
        <v>0</v>
      </c>
      <c r="N179" s="111">
        <f>IF(M$28=5,K$153,M179)</f>
        <v>0</v>
      </c>
      <c r="O179" s="112"/>
      <c r="P179" s="106"/>
      <c r="Q179" s="106"/>
      <c r="R179" s="106"/>
    </row>
    <row r="180" spans="1:18" ht="12.75">
      <c r="A180" s="111"/>
      <c r="B180" s="111"/>
      <c r="C180" s="111">
        <f>C178+1</f>
        <v>10</v>
      </c>
      <c r="D180" s="111" t="s">
        <v>2</v>
      </c>
      <c r="E180" s="111"/>
      <c r="F180" s="111"/>
      <c r="G180" s="111"/>
      <c r="H180" s="111"/>
      <c r="I180" s="111"/>
      <c r="J180" s="111"/>
      <c r="K180" s="111"/>
      <c r="L180" s="111"/>
      <c r="M180" s="111">
        <f>IF(N$28&lt;&gt;0,M$152,N180)</f>
        <v>-1</v>
      </c>
      <c r="N180" s="111">
        <f>IF(N$14="",N$152,-1)</f>
        <v>-1</v>
      </c>
      <c r="O180" s="112">
        <f>IF(N$28=5,L$152,N180)</f>
        <v>-1</v>
      </c>
      <c r="P180" s="106"/>
      <c r="Q180" s="106"/>
      <c r="R180" s="106"/>
    </row>
    <row r="181" spans="1:18" ht="12.75">
      <c r="A181" s="111"/>
      <c r="B181" s="111"/>
      <c r="C181" s="111"/>
      <c r="D181" s="111" t="s">
        <v>8</v>
      </c>
      <c r="E181" s="111"/>
      <c r="F181" s="111"/>
      <c r="G181" s="111"/>
      <c r="H181" s="111"/>
      <c r="I181" s="111"/>
      <c r="J181" s="111"/>
      <c r="K181" s="111"/>
      <c r="L181" s="111"/>
      <c r="M181" s="111">
        <f>IF(N$28&lt;&gt;0,M$153,N181)</f>
        <v>0</v>
      </c>
      <c r="N181" s="111">
        <f>IF(N$14="",N$153,0)</f>
        <v>0</v>
      </c>
      <c r="O181" s="112">
        <f>IF(N$28=5,L$153,N181)</f>
        <v>0</v>
      </c>
      <c r="P181" s="106"/>
      <c r="Q181" s="106"/>
      <c r="R181" s="106"/>
    </row>
    <row r="182" spans="1:18" ht="12.75">
      <c r="A182" s="112"/>
      <c r="B182" s="112" t="s">
        <v>109</v>
      </c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06"/>
      <c r="Q182" s="106"/>
      <c r="R182" s="106"/>
    </row>
    <row r="183" spans="1:15" ht="12.75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</row>
    <row r="184" spans="1:15" ht="12.75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</row>
    <row r="185" spans="1:15" ht="12.75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</row>
    <row r="186" spans="1:15" ht="12.75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</row>
    <row r="187" spans="1:15" ht="12.75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</row>
    <row r="188" spans="1:15" ht="12.75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</row>
    <row r="189" spans="1:15" ht="12.75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</row>
    <row r="190" spans="1:15" ht="12.75">
      <c r="A190" s="112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</row>
    <row r="191" spans="1:15" ht="12.75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</row>
    <row r="192" spans="1:15" ht="12.75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</row>
    <row r="193" spans="1:15" ht="12.75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</row>
    <row r="194" spans="1:15" ht="12.75">
      <c r="A194" s="112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</row>
    <row r="195" spans="1:15" ht="12.75">
      <c r="A195" s="112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</row>
    <row r="196" spans="1:15" ht="12.75">
      <c r="A196" s="112"/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</row>
    <row r="197" spans="1:15" ht="12.75">
      <c r="A197" s="112"/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</row>
    <row r="198" spans="1:15" ht="12.75">
      <c r="A198" s="112"/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</row>
    <row r="199" spans="1:15" ht="12.75">
      <c r="A199" s="112"/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</row>
    <row r="200" spans="1:15" ht="12.75">
      <c r="A200" s="112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</row>
    <row r="201" spans="1:15" ht="12.75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</row>
    <row r="202" spans="1:15" ht="12.75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</row>
    <row r="203" spans="1:15" ht="12.7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</row>
    <row r="204" spans="1:15" ht="12.7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</row>
    <row r="205" spans="1:15" ht="12.7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</row>
    <row r="206" spans="1:15" ht="12.75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</row>
    <row r="207" spans="1:15" ht="12.75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</row>
    <row r="208" spans="1:15" ht="12.75">
      <c r="A208" s="112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</row>
    <row r="209" spans="1:15" ht="12.75">
      <c r="A209" s="112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</row>
    <row r="210" spans="1:15" ht="12.75">
      <c r="A210" s="112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</row>
    <row r="211" spans="1:15" ht="12.75">
      <c r="A211" s="112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</row>
    <row r="212" spans="1:15" ht="12.75">
      <c r="A212" s="112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</row>
    <row r="213" spans="1:15" ht="12.75">
      <c r="A213" s="112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</row>
    <row r="214" spans="1:15" ht="12.75">
      <c r="A214" s="112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</row>
    <row r="215" spans="1:15" ht="12.75">
      <c r="A215" s="112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</row>
    <row r="216" spans="1:15" ht="12.75">
      <c r="A216" s="112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</row>
    <row r="217" spans="1:15" ht="12.75">
      <c r="A217" s="112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</row>
    <row r="218" spans="1:15" ht="12.75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</row>
    <row r="219" spans="1:15" ht="12.75">
      <c r="A219" s="112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</row>
    <row r="220" spans="1:15" ht="12.75">
      <c r="A220" s="112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</row>
    <row r="221" spans="1:15" ht="12.75">
      <c r="A221" s="112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</row>
    <row r="222" spans="1:15" ht="12.75">
      <c r="A222" s="112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</row>
    <row r="223" spans="1:15" ht="12.75">
      <c r="A223" s="112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</row>
    <row r="224" spans="1:15" ht="12.75">
      <c r="A224" s="112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</row>
    <row r="225" spans="1:15" ht="12.75">
      <c r="A225" s="11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</row>
    <row r="226" spans="1:15" ht="12.75">
      <c r="A226" s="11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</row>
    <row r="227" spans="1:15" ht="12.75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</row>
    <row r="228" spans="1:15" ht="12.75">
      <c r="A228" s="11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</row>
    <row r="229" spans="1:15" ht="12.75">
      <c r="A229" s="112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</row>
    <row r="230" spans="1:15" ht="12.75">
      <c r="A230" s="112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</row>
    <row r="231" spans="1:15" ht="12.75">
      <c r="A231" s="112"/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</row>
    <row r="232" spans="1:15" ht="12.75">
      <c r="A232" s="112"/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</row>
    <row r="233" spans="1:15" ht="12.75">
      <c r="A233" s="112"/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</row>
    <row r="234" spans="1:15" ht="12.75">
      <c r="A234" s="112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</row>
    <row r="235" spans="1:15" ht="12.75">
      <c r="A235" s="112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</row>
    <row r="236" spans="1:15" ht="12.75">
      <c r="A236" s="112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</row>
    <row r="237" spans="1:15" ht="12.75">
      <c r="A237" s="112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</row>
    <row r="238" spans="1:15" ht="12.75">
      <c r="A238" s="112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</row>
    <row r="239" spans="1:15" ht="12.75">
      <c r="A239" s="112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</row>
    <row r="240" spans="1:15" ht="12.75">
      <c r="A240" s="112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</row>
    <row r="241" spans="1:15" ht="12.75">
      <c r="A241" s="112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</row>
    <row r="242" spans="1:15" ht="12.75">
      <c r="A242" s="112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</row>
    <row r="243" spans="1:15" ht="12.75">
      <c r="A243" s="112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</row>
    <row r="244" spans="1:15" ht="12.75">
      <c r="A244" s="112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</row>
    <row r="245" spans="1:15" ht="12.75">
      <c r="A245" s="112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</row>
    <row r="246" spans="1:15" ht="12.75">
      <c r="A246" s="112"/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</row>
    <row r="247" spans="1:15" ht="12.75">
      <c r="A247" s="112"/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</row>
    <row r="248" spans="1:15" ht="12.75">
      <c r="A248" s="112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</row>
    <row r="249" spans="1:15" ht="12.75">
      <c r="A249" s="112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</row>
    <row r="250" spans="1:15" ht="12.75">
      <c r="A250" s="112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</row>
    <row r="251" spans="1:15" ht="12.75">
      <c r="A251" s="112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</row>
    <row r="252" spans="1:15" ht="12.75">
      <c r="A252" s="112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</row>
    <row r="253" spans="1:15" ht="12.75">
      <c r="A253" s="112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</row>
    <row r="254" spans="1:15" ht="12.75">
      <c r="A254" s="112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</row>
    <row r="255" spans="1:15" ht="12.75">
      <c r="A255" s="112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</row>
    <row r="256" spans="1:15" ht="12.75">
      <c r="A256" s="112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</row>
    <row r="257" spans="1:15" ht="12.75">
      <c r="A257" s="112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</row>
    <row r="258" spans="1:15" ht="12.75">
      <c r="A258" s="112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</row>
    <row r="259" spans="1:15" ht="12.75">
      <c r="A259" s="112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</row>
    <row r="260" spans="1:15" ht="12.75">
      <c r="A260" s="112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</row>
    <row r="261" spans="1:15" ht="12.75">
      <c r="A261" s="112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</row>
    <row r="262" spans="1:15" ht="12.75">
      <c r="A262" s="112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</row>
    <row r="263" spans="1:15" ht="12.75">
      <c r="A263" s="112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</row>
    <row r="264" spans="1:15" ht="12.75">
      <c r="A264" s="112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</row>
    <row r="265" spans="1:15" ht="12.75">
      <c r="A265" s="112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</row>
    <row r="266" spans="1:15" ht="12.75">
      <c r="A266" s="112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</row>
    <row r="267" spans="1:15" ht="12.75">
      <c r="A267" s="112"/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</row>
    <row r="268" spans="1:15" ht="12.75">
      <c r="A268" s="112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</row>
    <row r="269" spans="1:15" ht="12.75">
      <c r="A269" s="112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</row>
    <row r="270" spans="1:15" ht="12.75">
      <c r="A270" s="112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</row>
    <row r="271" spans="1:15" ht="12.75">
      <c r="A271" s="112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</row>
    <row r="272" spans="1:15" ht="12.75">
      <c r="A272" s="112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</row>
    <row r="273" spans="1:15" ht="12.75">
      <c r="A273" s="112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</row>
    <row r="274" spans="1:15" ht="12.75">
      <c r="A274" s="112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</row>
    <row r="275" spans="1:15" ht="12.75">
      <c r="A275" s="112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</row>
    <row r="276" spans="1:15" ht="12.75">
      <c r="A276" s="112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</row>
    <row r="277" spans="1:15" ht="12.75">
      <c r="A277" s="112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</row>
    <row r="278" spans="1:15" ht="12.75">
      <c r="A278" s="112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</row>
    <row r="279" spans="1:15" ht="12.75">
      <c r="A279" s="112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</row>
    <row r="280" spans="1:15" ht="12.75">
      <c r="A280" s="112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</row>
    <row r="281" spans="1:15" ht="12.75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</row>
    <row r="282" spans="1:15" ht="12.75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</row>
    <row r="283" spans="1:15" ht="12.75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</row>
    <row r="284" spans="1:15" ht="12.75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</row>
    <row r="285" spans="1:15" ht="12.75">
      <c r="A285" s="112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</row>
    <row r="286" spans="1:15" ht="12.75">
      <c r="A286" s="112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</row>
    <row r="287" spans="1:15" ht="12.75">
      <c r="A287" s="112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</row>
    <row r="288" spans="1:15" ht="12.75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</row>
    <row r="289" spans="1:15" ht="12.75">
      <c r="A289" s="112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</row>
    <row r="290" spans="1:15" ht="12.75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</row>
    <row r="291" spans="1:15" ht="12.75">
      <c r="A291" s="112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</row>
    <row r="292" spans="1:15" ht="12.75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</row>
    <row r="293" spans="1:15" ht="12.75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</row>
    <row r="294" spans="1:15" ht="12.75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</row>
    <row r="295" spans="1:15" ht="12.75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</row>
    <row r="296" spans="1:15" ht="12.75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</row>
    <row r="297" spans="1:15" ht="12.75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</row>
    <row r="298" spans="1:15" ht="12.75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</row>
    <row r="299" spans="1:15" ht="12.75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</row>
    <row r="300" spans="1:15" ht="12.75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</row>
    <row r="301" spans="1:15" ht="12.75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</row>
    <row r="302" spans="1:15" ht="12.75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</row>
    <row r="303" spans="1:15" ht="12.75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</row>
    <row r="304" spans="1:15" ht="12.75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</row>
    <row r="305" spans="1:15" ht="12.75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</row>
    <row r="306" spans="1:15" ht="12.75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</row>
    <row r="307" spans="1:15" ht="12.75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</row>
    <row r="308" spans="1:15" ht="12.75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</row>
    <row r="309" spans="1:15" ht="12.75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</row>
    <row r="310" spans="1:15" ht="12.75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</row>
    <row r="311" spans="1:15" ht="12.75">
      <c r="A311" s="112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</row>
    <row r="312" spans="1:15" ht="12.75">
      <c r="A312" s="112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</row>
    <row r="313" spans="1:15" ht="12.75">
      <c r="A313" s="112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</row>
    <row r="314" spans="1:15" ht="12.75">
      <c r="A314" s="112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</row>
    <row r="315" spans="1:15" ht="12.75">
      <c r="A315" s="112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</row>
    <row r="316" spans="1:15" ht="12.75">
      <c r="A316" s="112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</row>
    <row r="317" spans="1:15" ht="12.75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</row>
    <row r="318" spans="1:15" ht="12.75">
      <c r="A318" s="112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</row>
    <row r="319" spans="1:15" ht="12.75">
      <c r="A319" s="112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</row>
    <row r="320" spans="1:15" ht="12.75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</row>
    <row r="321" spans="1:15" ht="12.75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</row>
    <row r="322" spans="1:15" ht="12.75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</row>
    <row r="323" spans="1:15" ht="12.75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</row>
    <row r="324" spans="1:15" ht="12.75">
      <c r="A324" s="11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</row>
    <row r="325" spans="1:15" ht="12.75">
      <c r="A325" s="112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</row>
    <row r="326" spans="1:15" ht="12.75">
      <c r="A326" s="112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</row>
    <row r="327" spans="1:15" ht="12.75">
      <c r="A327" s="112"/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</row>
    <row r="328" spans="1:15" ht="12.75">
      <c r="A328" s="112"/>
      <c r="B328" s="112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</row>
    <row r="329" spans="1:15" ht="12.75">
      <c r="A329" s="112"/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</row>
    <row r="330" spans="1:15" ht="12.75">
      <c r="A330" s="112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</row>
    <row r="331" spans="1:15" ht="12.75">
      <c r="A331" s="112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</row>
    <row r="332" spans="1:15" ht="12.75">
      <c r="A332" s="112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</row>
    <row r="333" spans="1:15" ht="12.75">
      <c r="A333" s="112"/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</row>
    <row r="334" spans="1:15" ht="12.75">
      <c r="A334" s="112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</row>
    <row r="335" spans="1:15" ht="12.75">
      <c r="A335" s="112"/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</row>
    <row r="336" spans="1:15" ht="12.75">
      <c r="A336" s="112"/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</row>
    <row r="337" spans="1:15" ht="12.75">
      <c r="A337" s="112"/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</row>
    <row r="338" spans="1:15" ht="12.75">
      <c r="A338" s="112"/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</row>
    <row r="339" spans="1:15" ht="12.75">
      <c r="A339" s="112"/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</row>
    <row r="340" spans="1:15" ht="12.75">
      <c r="A340" s="112"/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</row>
    <row r="341" spans="1:15" ht="12.75">
      <c r="A341" s="112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</row>
    <row r="342" spans="1:15" ht="12.75">
      <c r="A342" s="112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</row>
    <row r="343" spans="1:15" ht="12.75">
      <c r="A343" s="112"/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</row>
    <row r="344" spans="1:15" ht="12.75">
      <c r="A344" s="112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</row>
    <row r="345" spans="1:15" ht="12.75">
      <c r="A345" s="112"/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</row>
    <row r="346" spans="1:15" ht="12.75">
      <c r="A346" s="112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</row>
    <row r="347" spans="1:15" ht="12.75">
      <c r="A347" s="112"/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</row>
    <row r="348" spans="1:15" ht="12.75">
      <c r="A348" s="112"/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</row>
    <row r="349" spans="1:15" ht="12.75">
      <c r="A349" s="112"/>
      <c r="B349" s="112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</row>
    <row r="350" spans="1:15" ht="12.75">
      <c r="A350" s="112"/>
      <c r="B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</row>
    <row r="351" spans="1:15" ht="12.75">
      <c r="A351" s="112"/>
      <c r="B351" s="112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</row>
    <row r="352" spans="1:15" ht="12.75">
      <c r="A352" s="112"/>
      <c r="B352" s="112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</row>
    <row r="353" spans="1:15" ht="12.75">
      <c r="A353" s="112"/>
      <c r="B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</row>
    <row r="354" spans="1:15" ht="12.75">
      <c r="A354" s="112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</row>
    <row r="355" spans="1:15" ht="12.75">
      <c r="A355" s="112"/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</row>
    <row r="356" spans="1:15" ht="12.75">
      <c r="A356" s="112"/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</row>
  </sheetData>
  <mergeCells count="1">
    <mergeCell ref="C2:F2"/>
  </mergeCells>
  <printOptions/>
  <pageMargins left="0.75" right="0.75" top="1" bottom="1" header="0.4921259845" footer="0.492125984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M64"/>
  <sheetViews>
    <sheetView showGridLines="0" workbookViewId="0" topLeftCell="A17">
      <selection activeCell="L3" sqref="L3"/>
    </sheetView>
  </sheetViews>
  <sheetFormatPr defaultColWidth="9.140625" defaultRowHeight="12.75"/>
  <cols>
    <col min="1" max="1" width="14.00390625" style="13" customWidth="1"/>
    <col min="2" max="2" width="4.7109375" style="13" customWidth="1"/>
    <col min="3" max="3" width="7.8515625" style="13" customWidth="1"/>
    <col min="4" max="13" width="6.28125" style="13" customWidth="1"/>
    <col min="14" max="14" width="3.140625" style="13" customWidth="1"/>
    <col min="15" max="16384" width="9.140625" style="13" customWidth="1"/>
  </cols>
  <sheetData>
    <row r="1" spans="1:13" ht="18">
      <c r="A1" s="34" t="s">
        <v>144</v>
      </c>
      <c r="K1" s="35" t="s">
        <v>75</v>
      </c>
      <c r="L1" s="13">
        <f>Tlak_vzduchu</f>
        <v>94.5</v>
      </c>
      <c r="M1" s="13" t="s">
        <v>11</v>
      </c>
    </row>
    <row r="2" spans="1:13" ht="17.25" customHeight="1">
      <c r="A2" s="36">
        <f>IF(Расчет!C2="","",Расчет!C2)</f>
      </c>
      <c r="B2" s="37" t="s">
        <v>145</v>
      </c>
      <c r="K2" s="35" t="s">
        <v>79</v>
      </c>
      <c r="L2" s="13">
        <f>Расчет!K2</f>
        <v>100</v>
      </c>
      <c r="M2" s="13" t="s">
        <v>5</v>
      </c>
    </row>
    <row r="3" spans="1:13" ht="12.75" customHeight="1">
      <c r="A3" s="36"/>
      <c r="B3" s="36"/>
      <c r="K3" s="35" t="s">
        <v>143</v>
      </c>
      <c r="L3" s="13">
        <f>Tchladice</f>
        <v>3</v>
      </c>
      <c r="M3" s="13" t="s">
        <v>4</v>
      </c>
    </row>
    <row r="4" ht="12.75">
      <c r="A4" s="38"/>
    </row>
    <row r="51" ht="1.5" customHeight="1"/>
    <row r="52" spans="1:13" s="45" customFormat="1" ht="11.25">
      <c r="A52" s="39"/>
      <c r="B52" s="40"/>
      <c r="C52" s="41"/>
      <c r="D52" s="42">
        <v>1</v>
      </c>
      <c r="E52" s="43">
        <v>2</v>
      </c>
      <c r="F52" s="43">
        <v>3</v>
      </c>
      <c r="G52" s="43">
        <v>4</v>
      </c>
      <c r="H52" s="43">
        <v>5</v>
      </c>
      <c r="I52" s="43">
        <v>6</v>
      </c>
      <c r="J52" s="43">
        <v>7</v>
      </c>
      <c r="K52" s="43">
        <v>8</v>
      </c>
      <c r="L52" s="43">
        <v>9</v>
      </c>
      <c r="M52" s="44">
        <v>10</v>
      </c>
    </row>
    <row r="53" spans="1:13" s="45" customFormat="1" ht="11.25">
      <c r="A53" s="46"/>
      <c r="B53" s="47"/>
      <c r="C53" s="48"/>
      <c r="D53" s="49">
        <f>IF(Расчет!E5="","",Расчет!E5)</f>
      </c>
      <c r="E53" s="50">
        <f>IF(Расчет!F5="","",Расчет!F5)</f>
      </c>
      <c r="F53" s="50">
        <f>IF(Расчет!G5="","",Расчет!G5)</f>
      </c>
      <c r="G53" s="50">
        <f>IF(Расчет!H5="","",Расчет!H5)</f>
      </c>
      <c r="H53" s="50">
        <f>IF(Расчет!I5="","",Расчет!I5)</f>
      </c>
      <c r="I53" s="50">
        <f>IF(Расчет!J5="","",Расчет!J5)</f>
      </c>
      <c r="J53" s="50">
        <f>IF(Расчет!K5="","",Расчет!K5)</f>
      </c>
      <c r="K53" s="50">
        <f>IF(Расчет!L5="","",Расчет!L5)</f>
      </c>
      <c r="L53" s="50">
        <f>IF(Расчет!M5="","",Расчет!M5)</f>
      </c>
      <c r="M53" s="51">
        <f>IF(Расчет!N5="","",Расчет!N5)</f>
      </c>
    </row>
    <row r="54" spans="1:13" s="58" customFormat="1" ht="11.25">
      <c r="A54" s="52" t="s">
        <v>62</v>
      </c>
      <c r="B54" s="53" t="s">
        <v>0</v>
      </c>
      <c r="C54" s="54" t="s">
        <v>4</v>
      </c>
      <c r="D54" s="55">
        <f>Расчет!E16</f>
      </c>
      <c r="E54" s="56">
        <f>Расчет!F16</f>
      </c>
      <c r="F54" s="56">
        <f>Расчет!G16</f>
      </c>
      <c r="G54" s="56">
        <f>Расчет!H16</f>
      </c>
      <c r="H54" s="56">
        <f>Расчет!I16</f>
      </c>
      <c r="I54" s="56">
        <f>Расчет!J16</f>
      </c>
      <c r="J54" s="56">
        <f>Расчет!K16</f>
      </c>
      <c r="K54" s="56">
        <f>Расчет!L16</f>
      </c>
      <c r="L54" s="56">
        <f>Расчет!M16</f>
      </c>
      <c r="M54" s="57">
        <f>Расчет!N16</f>
      </c>
    </row>
    <row r="55" spans="1:13" s="58" customFormat="1" ht="11.25">
      <c r="A55" s="59" t="s">
        <v>63</v>
      </c>
      <c r="B55" s="60" t="s">
        <v>1</v>
      </c>
      <c r="C55" s="61" t="s">
        <v>5</v>
      </c>
      <c r="D55" s="62">
        <f>Расчет!E17</f>
      </c>
      <c r="E55" s="63">
        <f>Расчет!F17</f>
      </c>
      <c r="F55" s="63">
        <f>Расчет!G17</f>
      </c>
      <c r="G55" s="63">
        <f>Расчет!H17</f>
      </c>
      <c r="H55" s="63">
        <f>Расчет!I17</f>
      </c>
      <c r="I55" s="63">
        <f>Расчет!J17</f>
      </c>
      <c r="J55" s="63">
        <f>Расчет!K17</f>
      </c>
      <c r="K55" s="63">
        <f>Расчет!L17</f>
      </c>
      <c r="L55" s="63">
        <f>Расчет!M17</f>
      </c>
      <c r="M55" s="64">
        <f>Расчет!N17</f>
      </c>
    </row>
    <row r="56" spans="1:13" s="58" customFormat="1" ht="11.25">
      <c r="A56" s="59" t="s">
        <v>67</v>
      </c>
      <c r="B56" s="65" t="s">
        <v>2</v>
      </c>
      <c r="C56" s="61" t="s">
        <v>6</v>
      </c>
      <c r="D56" s="66">
        <f>Расчет!E18</f>
      </c>
      <c r="E56" s="67">
        <f>Расчет!F18</f>
      </c>
      <c r="F56" s="67">
        <f>Расчет!G18</f>
      </c>
      <c r="G56" s="67">
        <f>Расчет!H18</f>
      </c>
      <c r="H56" s="67">
        <f>Расчет!I18</f>
      </c>
      <c r="I56" s="67">
        <f>Расчет!J18</f>
      </c>
      <c r="J56" s="67">
        <f>Расчет!K18</f>
      </c>
      <c r="K56" s="67">
        <f>Расчет!L18</f>
      </c>
      <c r="L56" s="67">
        <f>Расчет!M18</f>
      </c>
      <c r="M56" s="68">
        <f>Расчет!N18</f>
      </c>
    </row>
    <row r="57" spans="1:13" s="58" customFormat="1" ht="11.25">
      <c r="A57" s="59" t="s">
        <v>65</v>
      </c>
      <c r="B57" s="65" t="s">
        <v>3</v>
      </c>
      <c r="C57" s="61" t="s">
        <v>7</v>
      </c>
      <c r="D57" s="66">
        <f>Расчет!E19</f>
      </c>
      <c r="E57" s="67">
        <f>Расчет!F19</f>
      </c>
      <c r="F57" s="67">
        <f>Расчет!G19</f>
      </c>
      <c r="G57" s="67">
        <f>Расчет!H19</f>
      </c>
      <c r="H57" s="67">
        <f>Расчет!I19</f>
      </c>
      <c r="I57" s="67">
        <f>Расчет!J19</f>
      </c>
      <c r="J57" s="67">
        <f>Расчет!K19</f>
      </c>
      <c r="K57" s="67">
        <f>Расчет!L19</f>
      </c>
      <c r="L57" s="67">
        <f>Расчет!M19</f>
      </c>
      <c r="M57" s="68">
        <f>Расчет!N19</f>
      </c>
    </row>
    <row r="58" spans="1:13" s="58" customFormat="1" ht="11.25">
      <c r="A58" s="59" t="s">
        <v>72</v>
      </c>
      <c r="B58" s="60" t="s">
        <v>24</v>
      </c>
      <c r="C58" s="61" t="s">
        <v>26</v>
      </c>
      <c r="D58" s="69">
        <f>Расчет!E20</f>
      </c>
      <c r="E58" s="70">
        <f>Расчет!F20</f>
      </c>
      <c r="F58" s="70">
        <f>Расчет!G20</f>
      </c>
      <c r="G58" s="70">
        <f>Расчет!H20</f>
      </c>
      <c r="H58" s="70">
        <f>Расчет!I20</f>
      </c>
      <c r="I58" s="70">
        <f>Расчет!J20</f>
      </c>
      <c r="J58" s="70">
        <f>Расчет!K20</f>
      </c>
      <c r="K58" s="70">
        <f>Расчет!L20</f>
      </c>
      <c r="L58" s="70">
        <f>Расчет!M20</f>
      </c>
      <c r="M58" s="71">
        <f>Расчет!N20</f>
      </c>
    </row>
    <row r="59" spans="1:13" s="58" customFormat="1" ht="12" thickBot="1">
      <c r="A59" s="72" t="s">
        <v>80</v>
      </c>
      <c r="B59" s="73" t="s">
        <v>25</v>
      </c>
      <c r="C59" s="74" t="s">
        <v>4</v>
      </c>
      <c r="D59" s="75">
        <f>Расчет!E21</f>
      </c>
      <c r="E59" s="76">
        <f>Расчет!F21</f>
      </c>
      <c r="F59" s="76">
        <f>Расчет!G21</f>
      </c>
      <c r="G59" s="76">
        <f>Расчет!H21</f>
      </c>
      <c r="H59" s="76">
        <f>Расчет!I21</f>
      </c>
      <c r="I59" s="76">
        <f>Расчет!J21</f>
      </c>
      <c r="J59" s="76">
        <f>Расчет!K21</f>
      </c>
      <c r="K59" s="76">
        <f>Расчет!L21</f>
      </c>
      <c r="L59" s="76">
        <f>Расчет!M21</f>
      </c>
      <c r="M59" s="77">
        <f>Расчет!N21</f>
      </c>
    </row>
    <row r="60" spans="1:13" s="58" customFormat="1" ht="12.75" thickBot="1" thickTop="1">
      <c r="A60" s="78" t="s">
        <v>64</v>
      </c>
      <c r="B60" s="79" t="s">
        <v>57</v>
      </c>
      <c r="C60" s="80" t="s">
        <v>22</v>
      </c>
      <c r="D60" s="81">
        <f>Расчет!E22</f>
      </c>
      <c r="E60" s="82">
        <f>Расчет!F22</f>
      </c>
      <c r="F60" s="82">
        <f>Расчет!G22</f>
      </c>
      <c r="G60" s="82">
        <f>Расчет!H22</f>
      </c>
      <c r="H60" s="82">
        <f>Расчет!I22</f>
      </c>
      <c r="I60" s="82">
        <f>Расчет!J22</f>
      </c>
      <c r="J60" s="82">
        <f>Расчет!K22</f>
      </c>
      <c r="K60" s="82">
        <f>Расчет!L22</f>
      </c>
      <c r="L60" s="82">
        <f>Расчет!M22</f>
      </c>
      <c r="M60" s="83">
        <f>Расчет!N22</f>
      </c>
    </row>
    <row r="61" spans="1:13" s="58" customFormat="1" ht="12" thickTop="1">
      <c r="A61" s="78" t="s">
        <v>73</v>
      </c>
      <c r="B61" s="53" t="s">
        <v>56</v>
      </c>
      <c r="C61" s="54" t="s">
        <v>22</v>
      </c>
      <c r="D61" s="84">
        <f>Расчет!E23</f>
      </c>
      <c r="E61" s="85">
        <f>Расчет!F23</f>
      </c>
      <c r="F61" s="85">
        <f>Расчет!G23</f>
      </c>
      <c r="G61" s="85">
        <f>Расчет!H23</f>
      </c>
      <c r="H61" s="85">
        <f>Расчет!I23</f>
      </c>
      <c r="I61" s="85">
        <f>Расчет!J23</f>
      </c>
      <c r="J61" s="85">
        <f>Расчет!K23</f>
      </c>
      <c r="K61" s="85">
        <f>Расчет!L23</f>
      </c>
      <c r="L61" s="85">
        <f>Расчет!M23</f>
      </c>
      <c r="M61" s="86">
        <f>Расчет!N23</f>
      </c>
    </row>
    <row r="62" spans="1:13" s="58" customFormat="1" ht="11.25">
      <c r="A62" s="59" t="s">
        <v>66</v>
      </c>
      <c r="B62" s="87" t="s">
        <v>27</v>
      </c>
      <c r="C62" s="61" t="s">
        <v>28</v>
      </c>
      <c r="D62" s="66">
        <f>Расчет!E24</f>
      </c>
      <c r="E62" s="67">
        <f>Расчет!F24</f>
      </c>
      <c r="F62" s="67">
        <f>Расчет!G24</f>
      </c>
      <c r="G62" s="67">
        <f>Расчет!H24</f>
      </c>
      <c r="H62" s="67">
        <f>Расчет!I24</f>
      </c>
      <c r="I62" s="67">
        <f>Расчет!J24</f>
      </c>
      <c r="J62" s="67">
        <f>Расчет!K24</f>
      </c>
      <c r="K62" s="67">
        <f>Расчет!L24</f>
      </c>
      <c r="L62" s="67">
        <f>Расчет!M24</f>
      </c>
      <c r="M62" s="68">
        <f>Расчет!N24</f>
      </c>
    </row>
    <row r="63" spans="1:13" s="58" customFormat="1" ht="11.25">
      <c r="A63" s="88" t="s">
        <v>74</v>
      </c>
      <c r="B63" s="89" t="s">
        <v>29</v>
      </c>
      <c r="C63" s="90" t="s">
        <v>30</v>
      </c>
      <c r="D63" s="91">
        <f>Расчет!E25</f>
      </c>
      <c r="E63" s="92">
        <f>Расчет!F25</f>
      </c>
      <c r="F63" s="92">
        <f>Расчет!G25</f>
      </c>
      <c r="G63" s="92">
        <f>Расчет!H25</f>
      </c>
      <c r="H63" s="92">
        <f>Расчет!I25</f>
      </c>
      <c r="I63" s="92">
        <f>Расчет!J25</f>
      </c>
      <c r="J63" s="92">
        <f>Расчет!K25</f>
      </c>
      <c r="K63" s="92">
        <f>Расчет!L25</f>
      </c>
      <c r="L63" s="92">
        <f>Расчет!M25</f>
      </c>
      <c r="M63" s="93">
        <f>Расчет!N25</f>
      </c>
    </row>
    <row r="64" ht="12.75">
      <c r="A64" s="94"/>
    </row>
  </sheetData>
  <printOptions/>
  <pageMargins left="0.78740157480315" right="0.393700787401575" top="0.393700787401575" bottom="0.393700787401575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"/>
  <dimension ref="A2:E28"/>
  <sheetViews>
    <sheetView workbookViewId="0" topLeftCell="A11">
      <selection activeCell="F4" sqref="F4"/>
    </sheetView>
  </sheetViews>
  <sheetFormatPr defaultColWidth="9.140625" defaultRowHeight="12.75"/>
  <cols>
    <col min="1" max="1" width="27.00390625" style="13" customWidth="1"/>
    <col min="2" max="2" width="3.28125" style="13" customWidth="1"/>
    <col min="3" max="3" width="65.421875" style="13" customWidth="1"/>
    <col min="4" max="16384" width="9.140625" style="13" customWidth="1"/>
  </cols>
  <sheetData>
    <row r="2" spans="1:3" ht="38.25">
      <c r="A2" s="140" t="s">
        <v>131</v>
      </c>
      <c r="C2" s="95" t="s">
        <v>146</v>
      </c>
    </row>
    <row r="3" spans="3:5" ht="25.5">
      <c r="C3" s="96" t="s">
        <v>132</v>
      </c>
      <c r="D3" s="97"/>
      <c r="E3" s="97"/>
    </row>
    <row r="4" spans="3:5" ht="90.75">
      <c r="C4" s="96" t="s">
        <v>142</v>
      </c>
      <c r="D4" s="97"/>
      <c r="E4" s="97"/>
    </row>
    <row r="5" spans="3:5" ht="63.75">
      <c r="C5" s="96" t="s">
        <v>134</v>
      </c>
      <c r="D5" s="97"/>
      <c r="E5" s="97"/>
    </row>
    <row r="6" ht="38.25">
      <c r="C6" s="95" t="s">
        <v>136</v>
      </c>
    </row>
    <row r="7" ht="38.25">
      <c r="C7" s="95" t="s">
        <v>137</v>
      </c>
    </row>
    <row r="9" ht="12.75">
      <c r="A9" s="36" t="s">
        <v>86</v>
      </c>
    </row>
    <row r="10" spans="1:3" ht="25.5">
      <c r="A10" s="98" t="s">
        <v>94</v>
      </c>
      <c r="B10" s="99" t="s">
        <v>42</v>
      </c>
      <c r="C10" s="95" t="s">
        <v>122</v>
      </c>
    </row>
    <row r="11" spans="1:2" ht="12.75">
      <c r="A11" s="98"/>
      <c r="B11" s="100"/>
    </row>
    <row r="12" spans="1:3" ht="102">
      <c r="A12" s="98" t="s">
        <v>81</v>
      </c>
      <c r="B12" s="99" t="s">
        <v>43</v>
      </c>
      <c r="C12" s="133" t="s">
        <v>125</v>
      </c>
    </row>
    <row r="13" spans="1:3" ht="12.75">
      <c r="A13" s="98"/>
      <c r="B13" s="99"/>
      <c r="C13" s="95"/>
    </row>
    <row r="14" spans="1:3" ht="25.5">
      <c r="A14" s="98" t="s">
        <v>95</v>
      </c>
      <c r="B14" s="99" t="s">
        <v>45</v>
      </c>
      <c r="C14" s="95" t="s">
        <v>123</v>
      </c>
    </row>
    <row r="15" spans="1:3" ht="12.75">
      <c r="A15" s="98"/>
      <c r="B15" s="99"/>
      <c r="C15" s="95"/>
    </row>
    <row r="16" spans="1:3" ht="25.5">
      <c r="A16" s="98" t="s">
        <v>85</v>
      </c>
      <c r="B16" s="99" t="s">
        <v>27</v>
      </c>
      <c r="C16" s="95" t="s">
        <v>124</v>
      </c>
    </row>
    <row r="17" spans="1:3" ht="12.75">
      <c r="A17" s="98"/>
      <c r="B17" s="99"/>
      <c r="C17" s="95"/>
    </row>
    <row r="18" spans="1:3" ht="63.75">
      <c r="A18" s="98" t="s">
        <v>84</v>
      </c>
      <c r="B18" s="99" t="s">
        <v>46</v>
      </c>
      <c r="C18" s="95" t="s">
        <v>127</v>
      </c>
    </row>
    <row r="19" spans="1:3" ht="25.5">
      <c r="A19" s="98" t="s">
        <v>103</v>
      </c>
      <c r="B19" s="99" t="s">
        <v>54</v>
      </c>
      <c r="C19" s="95" t="s">
        <v>126</v>
      </c>
    </row>
    <row r="20" spans="1:3" ht="12.75">
      <c r="A20" s="98"/>
      <c r="B20" s="99"/>
      <c r="C20" s="95"/>
    </row>
    <row r="22" spans="1:2" ht="12.75">
      <c r="A22" s="36" t="s">
        <v>128</v>
      </c>
      <c r="B22" s="101"/>
    </row>
    <row r="23" spans="2:3" ht="12.75">
      <c r="B23" s="102" t="s">
        <v>51</v>
      </c>
      <c r="C23" s="13" t="s">
        <v>130</v>
      </c>
    </row>
    <row r="24" spans="2:3" ht="12.75">
      <c r="B24" s="102" t="s">
        <v>52</v>
      </c>
      <c r="C24" s="13" t="s">
        <v>129</v>
      </c>
    </row>
    <row r="26" spans="1:3" ht="12.75">
      <c r="A26" s="103"/>
      <c r="C26" s="95"/>
    </row>
    <row r="27" ht="12.75">
      <c r="C27" s="95"/>
    </row>
    <row r="28" ht="12.75">
      <c r="C28" s="10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J15"/>
  <sheetViews>
    <sheetView workbookViewId="0" topLeftCell="A1">
      <selection activeCell="H17" sqref="H17"/>
    </sheetView>
  </sheetViews>
  <sheetFormatPr defaultColWidth="9.140625" defaultRowHeight="12.75"/>
  <cols>
    <col min="1" max="16384" width="9.140625" style="13" customWidth="1"/>
  </cols>
  <sheetData>
    <row r="1" ht="12.75">
      <c r="A1" s="36" t="s">
        <v>138</v>
      </c>
    </row>
    <row r="2" ht="12.75">
      <c r="A2" s="105" t="s">
        <v>139</v>
      </c>
    </row>
    <row r="3" ht="12.75">
      <c r="A3" s="105" t="s">
        <v>140</v>
      </c>
    </row>
    <row r="5" ht="12.75">
      <c r="A5" s="13" t="s">
        <v>141</v>
      </c>
    </row>
    <row r="7" spans="1:10" ht="12.75">
      <c r="A7" s="1" t="s">
        <v>82</v>
      </c>
      <c r="B7" s="1" t="s">
        <v>87</v>
      </c>
      <c r="C7" s="1" t="s">
        <v>88</v>
      </c>
      <c r="D7" s="1" t="s">
        <v>87</v>
      </c>
      <c r="E7" s="1"/>
      <c r="F7" s="1" t="s">
        <v>83</v>
      </c>
      <c r="G7" s="1" t="s">
        <v>89</v>
      </c>
      <c r="H7" s="1" t="s">
        <v>87</v>
      </c>
      <c r="I7" s="1" t="s">
        <v>90</v>
      </c>
      <c r="J7" s="1"/>
    </row>
    <row r="8" spans="1:10" ht="12.75">
      <c r="A8" s="2">
        <v>-18</v>
      </c>
      <c r="B8" s="2">
        <v>35</v>
      </c>
      <c r="C8" s="2"/>
      <c r="D8" s="2">
        <v>25</v>
      </c>
      <c r="E8" s="2"/>
      <c r="F8" s="2">
        <v>35</v>
      </c>
      <c r="G8" s="2"/>
      <c r="H8" s="2"/>
      <c r="I8" s="2"/>
      <c r="J8" s="2"/>
    </row>
    <row r="9" spans="1:10" ht="12.75">
      <c r="A9" s="2">
        <v>100</v>
      </c>
      <c r="B9" s="2"/>
      <c r="C9" s="2">
        <v>85</v>
      </c>
      <c r="D9" s="2"/>
      <c r="E9" s="2"/>
      <c r="F9" s="2">
        <v>50</v>
      </c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>
        <v>14</v>
      </c>
      <c r="J10" s="2"/>
    </row>
    <row r="11" spans="1:10" ht="13.5" thickBot="1">
      <c r="A11" s="3"/>
      <c r="B11" s="3"/>
      <c r="C11" s="5"/>
      <c r="D11" s="3"/>
      <c r="E11" s="3"/>
      <c r="F11" s="3"/>
      <c r="G11" s="3"/>
      <c r="H11" s="3"/>
      <c r="I11" s="3"/>
      <c r="J11" s="3"/>
    </row>
    <row r="12" spans="1:10" ht="13.5" thickTop="1">
      <c r="A12" s="4"/>
      <c r="B12" s="4" t="s">
        <v>53</v>
      </c>
      <c r="C12" s="4" t="s">
        <v>55</v>
      </c>
      <c r="D12" s="4" t="s">
        <v>53</v>
      </c>
      <c r="E12" s="4"/>
      <c r="F12" s="4"/>
      <c r="G12" s="4" t="s">
        <v>58</v>
      </c>
      <c r="H12" s="4" t="s">
        <v>53</v>
      </c>
      <c r="I12" s="4" t="s">
        <v>59</v>
      </c>
      <c r="J12" s="4"/>
    </row>
    <row r="13" spans="1:10" ht="12.75">
      <c r="A13" s="6">
        <v>10000</v>
      </c>
      <c r="B13" s="6"/>
      <c r="C13" s="6"/>
      <c r="D13" s="6"/>
      <c r="E13" s="6"/>
      <c r="F13" s="6">
        <v>20000</v>
      </c>
      <c r="G13" s="6"/>
      <c r="H13" s="6"/>
      <c r="I13" s="6"/>
      <c r="J13" s="6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>
        <v>260</v>
      </c>
      <c r="H15" s="2">
        <v>80</v>
      </c>
      <c r="I15" s="2"/>
      <c r="J15" s="2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2:T82"/>
  <sheetViews>
    <sheetView workbookViewId="0" topLeftCell="A1">
      <selection activeCell="A1" sqref="A1:IV16384"/>
    </sheetView>
  </sheetViews>
  <sheetFormatPr defaultColWidth="9.140625" defaultRowHeight="12.75"/>
  <cols>
    <col min="1" max="8" width="9.140625" style="106" customWidth="1"/>
    <col min="9" max="9" width="11.28125" style="106" bestFit="1" customWidth="1"/>
    <col min="10" max="16384" width="9.140625" style="106" customWidth="1"/>
  </cols>
  <sheetData>
    <row r="2" ht="12.75">
      <c r="B2" s="106" t="s">
        <v>12</v>
      </c>
    </row>
    <row r="4" ht="12.75">
      <c r="B4" s="107" t="s">
        <v>13</v>
      </c>
    </row>
    <row r="6" spans="2:18" ht="12.75">
      <c r="B6" s="106" t="s">
        <v>15</v>
      </c>
      <c r="C6" s="107">
        <v>0</v>
      </c>
      <c r="D6" s="107">
        <f>C6+2</f>
        <v>2</v>
      </c>
      <c r="E6" s="107">
        <f aca="true" t="shared" si="0" ref="E6:R6">D6+2</f>
        <v>4</v>
      </c>
      <c r="F6" s="107">
        <f t="shared" si="0"/>
        <v>6</v>
      </c>
      <c r="G6" s="107">
        <f t="shared" si="0"/>
        <v>8</v>
      </c>
      <c r="H6" s="107">
        <f t="shared" si="0"/>
        <v>10</v>
      </c>
      <c r="I6" s="107">
        <f t="shared" si="0"/>
        <v>12</v>
      </c>
      <c r="J6" s="107">
        <f t="shared" si="0"/>
        <v>14</v>
      </c>
      <c r="K6" s="107">
        <f t="shared" si="0"/>
        <v>16</v>
      </c>
      <c r="L6" s="107">
        <f t="shared" si="0"/>
        <v>18</v>
      </c>
      <c r="M6" s="107">
        <f t="shared" si="0"/>
        <v>20</v>
      </c>
      <c r="N6" s="107">
        <f t="shared" si="0"/>
        <v>22</v>
      </c>
      <c r="O6" s="107">
        <f t="shared" si="0"/>
        <v>24</v>
      </c>
      <c r="P6" s="107">
        <f t="shared" si="0"/>
        <v>26</v>
      </c>
      <c r="Q6" s="107">
        <f t="shared" si="0"/>
        <v>28</v>
      </c>
      <c r="R6" s="107">
        <f t="shared" si="0"/>
        <v>30</v>
      </c>
    </row>
    <row r="7" ht="12.75">
      <c r="C7" s="106" t="s">
        <v>16</v>
      </c>
    </row>
    <row r="8" spans="1:18" ht="12.75">
      <c r="A8" s="108" t="s">
        <v>14</v>
      </c>
      <c r="B8" s="107">
        <v>50</v>
      </c>
      <c r="C8" s="106">
        <f aca="true" t="shared" si="1" ref="C8:C22">(1.01*$B8+0.00186*$B8*C$6)/1.01</f>
        <v>50</v>
      </c>
      <c r="D8" s="106">
        <f aca="true" t="shared" si="2" ref="D8:R22">(1.01*$B8+0.00186*$B8*D$6)/1.01</f>
        <v>50.18415841584159</v>
      </c>
      <c r="E8" s="106">
        <f t="shared" si="2"/>
        <v>50.36831683168317</v>
      </c>
      <c r="F8" s="106">
        <f t="shared" si="2"/>
        <v>50.552475247524754</v>
      </c>
      <c r="G8" s="106">
        <f t="shared" si="2"/>
        <v>50.736633663366334</v>
      </c>
      <c r="H8" s="106">
        <f t="shared" si="2"/>
        <v>50.92079207920792</v>
      </c>
      <c r="I8" s="106">
        <f t="shared" si="2"/>
        <v>51.10495049504951</v>
      </c>
      <c r="J8" s="106">
        <f t="shared" si="2"/>
        <v>51.28910891089109</v>
      </c>
      <c r="K8" s="106">
        <f t="shared" si="2"/>
        <v>51.473267326732675</v>
      </c>
      <c r="L8" s="106">
        <f t="shared" si="2"/>
        <v>51.657425742574254</v>
      </c>
      <c r="M8" s="106">
        <f t="shared" si="2"/>
        <v>51.84158415841584</v>
      </c>
      <c r="N8" s="106">
        <f t="shared" si="2"/>
        <v>52.02574257425742</v>
      </c>
      <c r="O8" s="106">
        <f t="shared" si="2"/>
        <v>52.20990099009901</v>
      </c>
      <c r="P8" s="106">
        <f t="shared" si="2"/>
        <v>52.394059405940595</v>
      </c>
      <c r="Q8" s="106">
        <f t="shared" si="2"/>
        <v>52.578217821782175</v>
      </c>
      <c r="R8" s="106">
        <f t="shared" si="2"/>
        <v>52.76237623762376</v>
      </c>
    </row>
    <row r="9" spans="2:18" ht="12.75">
      <c r="B9" s="107">
        <f>B8-5</f>
        <v>45</v>
      </c>
      <c r="C9" s="106">
        <f t="shared" si="1"/>
        <v>45</v>
      </c>
      <c r="D9" s="106">
        <f t="shared" si="2"/>
        <v>45.16574257425743</v>
      </c>
      <c r="E9" s="106">
        <f t="shared" si="2"/>
        <v>45.33148514851486</v>
      </c>
      <c r="F9" s="106">
        <f t="shared" si="2"/>
        <v>45.49722772277228</v>
      </c>
      <c r="G9" s="106">
        <f t="shared" si="2"/>
        <v>45.66297029702971</v>
      </c>
      <c r="H9" s="106">
        <f t="shared" si="2"/>
        <v>45.82871287128714</v>
      </c>
      <c r="I9" s="106">
        <f t="shared" si="2"/>
        <v>45.99445544554455</v>
      </c>
      <c r="J9" s="106">
        <f t="shared" si="2"/>
        <v>46.16019801980198</v>
      </c>
      <c r="K9" s="106">
        <f t="shared" si="2"/>
        <v>46.325940594059404</v>
      </c>
      <c r="L9" s="106">
        <f t="shared" si="2"/>
        <v>46.49168316831683</v>
      </c>
      <c r="M9" s="106">
        <f t="shared" si="2"/>
        <v>46.65742574257426</v>
      </c>
      <c r="N9" s="106">
        <f t="shared" si="2"/>
        <v>46.82316831683168</v>
      </c>
      <c r="O9" s="106">
        <f t="shared" si="2"/>
        <v>46.98891089108911</v>
      </c>
      <c r="P9" s="106">
        <f t="shared" si="2"/>
        <v>47.15465346534654</v>
      </c>
      <c r="Q9" s="106">
        <f t="shared" si="2"/>
        <v>47.32039603960396</v>
      </c>
      <c r="R9" s="106">
        <f t="shared" si="2"/>
        <v>47.48613861386139</v>
      </c>
    </row>
    <row r="10" spans="2:18" ht="12.75">
      <c r="B10" s="107">
        <f aca="true" t="shared" si="3" ref="B10:B22">B9-5</f>
        <v>40</v>
      </c>
      <c r="C10" s="106">
        <f t="shared" si="1"/>
        <v>40</v>
      </c>
      <c r="D10" s="106">
        <f t="shared" si="2"/>
        <v>40.147326732673264</v>
      </c>
      <c r="E10" s="106">
        <f t="shared" si="2"/>
        <v>40.294653465346535</v>
      </c>
      <c r="F10" s="106">
        <f t="shared" si="2"/>
        <v>40.4419801980198</v>
      </c>
      <c r="G10" s="106">
        <f t="shared" si="2"/>
        <v>40.58930693069306</v>
      </c>
      <c r="H10" s="106">
        <f t="shared" si="2"/>
        <v>40.736633663366334</v>
      </c>
      <c r="I10" s="106">
        <f t="shared" si="2"/>
        <v>40.883960396039605</v>
      </c>
      <c r="J10" s="106">
        <f t="shared" si="2"/>
        <v>41.03128712871287</v>
      </c>
      <c r="K10" s="106">
        <f t="shared" si="2"/>
        <v>41.17861386138613</v>
      </c>
      <c r="L10" s="106">
        <f t="shared" si="2"/>
        <v>41.325940594059404</v>
      </c>
      <c r="M10" s="106">
        <f t="shared" si="2"/>
        <v>41.473267326732675</v>
      </c>
      <c r="N10" s="106">
        <f t="shared" si="2"/>
        <v>41.62059405940594</v>
      </c>
      <c r="O10" s="106">
        <f t="shared" si="2"/>
        <v>41.76792079207921</v>
      </c>
      <c r="P10" s="106">
        <f t="shared" si="2"/>
        <v>41.91524752475248</v>
      </c>
      <c r="Q10" s="106">
        <f t="shared" si="2"/>
        <v>42.06257425742574</v>
      </c>
      <c r="R10" s="106">
        <f t="shared" si="2"/>
        <v>42.20990099009901</v>
      </c>
    </row>
    <row r="11" spans="2:18" ht="12.75">
      <c r="B11" s="107">
        <f t="shared" si="3"/>
        <v>35</v>
      </c>
      <c r="C11" s="106">
        <f t="shared" si="1"/>
        <v>35</v>
      </c>
      <c r="D11" s="106">
        <f t="shared" si="2"/>
        <v>35.12891089108911</v>
      </c>
      <c r="E11" s="106">
        <f t="shared" si="2"/>
        <v>35.25782178217822</v>
      </c>
      <c r="F11" s="106">
        <f t="shared" si="2"/>
        <v>35.386732673267325</v>
      </c>
      <c r="G11" s="106">
        <f t="shared" si="2"/>
        <v>35.51564356435644</v>
      </c>
      <c r="H11" s="106">
        <f t="shared" si="2"/>
        <v>35.64455445544555</v>
      </c>
      <c r="I11" s="106">
        <f t="shared" si="2"/>
        <v>35.77346534653465</v>
      </c>
      <c r="J11" s="106">
        <f t="shared" si="2"/>
        <v>35.90237623762376</v>
      </c>
      <c r="K11" s="106">
        <f t="shared" si="2"/>
        <v>36.031287128712876</v>
      </c>
      <c r="L11" s="106">
        <f t="shared" si="2"/>
        <v>36.16019801980198</v>
      </c>
      <c r="M11" s="106">
        <f t="shared" si="2"/>
        <v>36.28910891089109</v>
      </c>
      <c r="N11" s="106">
        <f t="shared" si="2"/>
        <v>36.4180198019802</v>
      </c>
      <c r="O11" s="106">
        <f t="shared" si="2"/>
        <v>36.546930693069314</v>
      </c>
      <c r="P11" s="106">
        <f t="shared" si="2"/>
        <v>36.67584158415841</v>
      </c>
      <c r="Q11" s="106">
        <f t="shared" si="2"/>
        <v>36.804752475247525</v>
      </c>
      <c r="R11" s="106">
        <f t="shared" si="2"/>
        <v>36.93366336633664</v>
      </c>
    </row>
    <row r="12" spans="2:18" ht="12.75">
      <c r="B12" s="107">
        <f t="shared" si="3"/>
        <v>30</v>
      </c>
      <c r="C12" s="106">
        <f t="shared" si="1"/>
        <v>30</v>
      </c>
      <c r="D12" s="106">
        <f t="shared" si="2"/>
        <v>30.11049504950495</v>
      </c>
      <c r="E12" s="106">
        <f t="shared" si="2"/>
        <v>30.2209900990099</v>
      </c>
      <c r="F12" s="106">
        <f t="shared" si="2"/>
        <v>30.331485148514854</v>
      </c>
      <c r="G12" s="106">
        <f t="shared" si="2"/>
        <v>30.441980198019802</v>
      </c>
      <c r="H12" s="106">
        <f t="shared" si="2"/>
        <v>30.552475247524754</v>
      </c>
      <c r="I12" s="106">
        <f t="shared" si="2"/>
        <v>30.662970297029702</v>
      </c>
      <c r="J12" s="106">
        <f t="shared" si="2"/>
        <v>30.773465346534653</v>
      </c>
      <c r="K12" s="106">
        <f t="shared" si="2"/>
        <v>30.883960396039605</v>
      </c>
      <c r="L12" s="106">
        <f t="shared" si="2"/>
        <v>30.994455445544556</v>
      </c>
      <c r="M12" s="106">
        <f t="shared" si="2"/>
        <v>31.104950495049504</v>
      </c>
      <c r="N12" s="106">
        <f t="shared" si="2"/>
        <v>31.215445544554456</v>
      </c>
      <c r="O12" s="106">
        <f t="shared" si="2"/>
        <v>31.325940594059407</v>
      </c>
      <c r="P12" s="106">
        <f t="shared" si="2"/>
        <v>31.43643564356436</v>
      </c>
      <c r="Q12" s="106">
        <f t="shared" si="2"/>
        <v>31.546930693069307</v>
      </c>
      <c r="R12" s="106">
        <f t="shared" si="2"/>
        <v>31.657425742574258</v>
      </c>
    </row>
    <row r="13" spans="2:18" ht="12.75">
      <c r="B13" s="107">
        <f t="shared" si="3"/>
        <v>25</v>
      </c>
      <c r="C13" s="106">
        <f t="shared" si="1"/>
        <v>25</v>
      </c>
      <c r="D13" s="106">
        <f t="shared" si="2"/>
        <v>25.092079207920793</v>
      </c>
      <c r="E13" s="106">
        <f t="shared" si="2"/>
        <v>25.184158415841583</v>
      </c>
      <c r="F13" s="106">
        <f t="shared" si="2"/>
        <v>25.276237623762377</v>
      </c>
      <c r="G13" s="106">
        <f t="shared" si="2"/>
        <v>25.368316831683167</v>
      </c>
      <c r="H13" s="106">
        <f t="shared" si="2"/>
        <v>25.46039603960396</v>
      </c>
      <c r="I13" s="106">
        <f t="shared" si="2"/>
        <v>25.552475247524754</v>
      </c>
      <c r="J13" s="106">
        <f t="shared" si="2"/>
        <v>25.644554455445544</v>
      </c>
      <c r="K13" s="106">
        <f t="shared" si="2"/>
        <v>25.736633663366337</v>
      </c>
      <c r="L13" s="106">
        <f t="shared" si="2"/>
        <v>25.828712871287127</v>
      </c>
      <c r="M13" s="106">
        <f t="shared" si="2"/>
        <v>25.92079207920792</v>
      </c>
      <c r="N13" s="106">
        <f t="shared" si="2"/>
        <v>26.01287128712871</v>
      </c>
      <c r="O13" s="106">
        <f t="shared" si="2"/>
        <v>26.104950495049504</v>
      </c>
      <c r="P13" s="106">
        <f t="shared" si="2"/>
        <v>26.197029702970298</v>
      </c>
      <c r="Q13" s="106">
        <f t="shared" si="2"/>
        <v>26.289108910891088</v>
      </c>
      <c r="R13" s="106">
        <f t="shared" si="2"/>
        <v>26.38118811881188</v>
      </c>
    </row>
    <row r="14" spans="2:18" ht="12.75">
      <c r="B14" s="107">
        <f t="shared" si="3"/>
        <v>20</v>
      </c>
      <c r="C14" s="106">
        <f t="shared" si="1"/>
        <v>20</v>
      </c>
      <c r="D14" s="106">
        <f t="shared" si="2"/>
        <v>20.073663366336632</v>
      </c>
      <c r="E14" s="106">
        <f t="shared" si="2"/>
        <v>20.147326732673267</v>
      </c>
      <c r="F14" s="106">
        <f t="shared" si="2"/>
        <v>20.2209900990099</v>
      </c>
      <c r="G14" s="106">
        <f t="shared" si="2"/>
        <v>20.29465346534653</v>
      </c>
      <c r="H14" s="106">
        <f t="shared" si="2"/>
        <v>20.368316831683167</v>
      </c>
      <c r="I14" s="106">
        <f t="shared" si="2"/>
        <v>20.441980198019802</v>
      </c>
      <c r="J14" s="106">
        <f t="shared" si="2"/>
        <v>20.515643564356434</v>
      </c>
      <c r="K14" s="106">
        <f t="shared" si="2"/>
        <v>20.589306930693066</v>
      </c>
      <c r="L14" s="106">
        <f t="shared" si="2"/>
        <v>20.662970297029702</v>
      </c>
      <c r="M14" s="106">
        <f t="shared" si="2"/>
        <v>20.736633663366337</v>
      </c>
      <c r="N14" s="106">
        <f t="shared" si="2"/>
        <v>20.81029702970297</v>
      </c>
      <c r="O14" s="106">
        <f t="shared" si="2"/>
        <v>20.883960396039605</v>
      </c>
      <c r="P14" s="106">
        <f t="shared" si="2"/>
        <v>20.95762376237624</v>
      </c>
      <c r="Q14" s="106">
        <f t="shared" si="2"/>
        <v>21.03128712871287</v>
      </c>
      <c r="R14" s="106">
        <f t="shared" si="2"/>
        <v>21.104950495049504</v>
      </c>
    </row>
    <row r="15" spans="2:18" ht="12.75">
      <c r="B15" s="107">
        <f t="shared" si="3"/>
        <v>15</v>
      </c>
      <c r="C15" s="106">
        <f t="shared" si="1"/>
        <v>15</v>
      </c>
      <c r="D15" s="106">
        <f t="shared" si="2"/>
        <v>15.055247524752476</v>
      </c>
      <c r="E15" s="106">
        <f t="shared" si="2"/>
        <v>15.11049504950495</v>
      </c>
      <c r="F15" s="106">
        <f t="shared" si="2"/>
        <v>15.165742574257427</v>
      </c>
      <c r="G15" s="106">
        <f t="shared" si="2"/>
        <v>15.220990099009901</v>
      </c>
      <c r="H15" s="106">
        <f t="shared" si="2"/>
        <v>15.276237623762377</v>
      </c>
      <c r="I15" s="106">
        <f t="shared" si="2"/>
        <v>15.331485148514851</v>
      </c>
      <c r="J15" s="106">
        <f t="shared" si="2"/>
        <v>15.386732673267327</v>
      </c>
      <c r="K15" s="106">
        <f t="shared" si="2"/>
        <v>15.441980198019802</v>
      </c>
      <c r="L15" s="106">
        <f t="shared" si="2"/>
        <v>15.497227722772278</v>
      </c>
      <c r="M15" s="106">
        <f t="shared" si="2"/>
        <v>15.552475247524752</v>
      </c>
      <c r="N15" s="106">
        <f t="shared" si="2"/>
        <v>15.607722772277228</v>
      </c>
      <c r="O15" s="106">
        <f t="shared" si="2"/>
        <v>15.662970297029704</v>
      </c>
      <c r="P15" s="106">
        <f t="shared" si="2"/>
        <v>15.71821782178218</v>
      </c>
      <c r="Q15" s="106">
        <f t="shared" si="2"/>
        <v>15.773465346534653</v>
      </c>
      <c r="R15" s="106">
        <f t="shared" si="2"/>
        <v>15.828712871287129</v>
      </c>
    </row>
    <row r="16" spans="2:18" ht="12.75">
      <c r="B16" s="107">
        <f t="shared" si="3"/>
        <v>10</v>
      </c>
      <c r="C16" s="106">
        <f t="shared" si="1"/>
        <v>10</v>
      </c>
      <c r="D16" s="106">
        <f t="shared" si="2"/>
        <v>10.036831683168316</v>
      </c>
      <c r="E16" s="106">
        <f t="shared" si="2"/>
        <v>10.073663366336634</v>
      </c>
      <c r="F16" s="106">
        <f t="shared" si="2"/>
        <v>10.11049504950495</v>
      </c>
      <c r="G16" s="106">
        <f t="shared" si="2"/>
        <v>10.147326732673266</v>
      </c>
      <c r="H16" s="106">
        <f t="shared" si="2"/>
        <v>10.184158415841583</v>
      </c>
      <c r="I16" s="106">
        <f t="shared" si="2"/>
        <v>10.220990099009901</v>
      </c>
      <c r="J16" s="106">
        <f t="shared" si="2"/>
        <v>10.257821782178217</v>
      </c>
      <c r="K16" s="106">
        <f t="shared" si="2"/>
        <v>10.294653465346533</v>
      </c>
      <c r="L16" s="106">
        <f t="shared" si="2"/>
        <v>10.331485148514851</v>
      </c>
      <c r="M16" s="106">
        <f t="shared" si="2"/>
        <v>10.368316831683169</v>
      </c>
      <c r="N16" s="106">
        <f t="shared" si="2"/>
        <v>10.405148514851485</v>
      </c>
      <c r="O16" s="106">
        <f t="shared" si="2"/>
        <v>10.441980198019802</v>
      </c>
      <c r="P16" s="106">
        <f t="shared" si="2"/>
        <v>10.47881188118812</v>
      </c>
      <c r="Q16" s="106">
        <f t="shared" si="2"/>
        <v>10.515643564356434</v>
      </c>
      <c r="R16" s="106">
        <f t="shared" si="2"/>
        <v>10.552475247524752</v>
      </c>
    </row>
    <row r="17" spans="2:18" ht="12.75">
      <c r="B17" s="107">
        <f t="shared" si="3"/>
        <v>5</v>
      </c>
      <c r="C17" s="106">
        <f t="shared" si="1"/>
        <v>5</v>
      </c>
      <c r="D17" s="106">
        <f t="shared" si="2"/>
        <v>5.018415841584158</v>
      </c>
      <c r="E17" s="106">
        <f t="shared" si="2"/>
        <v>5.036831683168317</v>
      </c>
      <c r="F17" s="106">
        <f t="shared" si="2"/>
        <v>5.055247524752475</v>
      </c>
      <c r="G17" s="106">
        <f t="shared" si="2"/>
        <v>5.073663366336633</v>
      </c>
      <c r="H17" s="106">
        <f t="shared" si="2"/>
        <v>5.092079207920792</v>
      </c>
      <c r="I17" s="106">
        <f t="shared" si="2"/>
        <v>5.110495049504951</v>
      </c>
      <c r="J17" s="106">
        <f t="shared" si="2"/>
        <v>5.128910891089109</v>
      </c>
      <c r="K17" s="106">
        <f t="shared" si="2"/>
        <v>5.147326732673267</v>
      </c>
      <c r="L17" s="106">
        <f t="shared" si="2"/>
        <v>5.1657425742574254</v>
      </c>
      <c r="M17" s="106">
        <f t="shared" si="2"/>
        <v>5.184158415841584</v>
      </c>
      <c r="N17" s="106">
        <f t="shared" si="2"/>
        <v>5.202574257425742</v>
      </c>
      <c r="O17" s="106">
        <f t="shared" si="2"/>
        <v>5.220990099009901</v>
      </c>
      <c r="P17" s="106">
        <f t="shared" si="2"/>
        <v>5.23940594059406</v>
      </c>
      <c r="Q17" s="106">
        <f t="shared" si="2"/>
        <v>5.257821782178217</v>
      </c>
      <c r="R17" s="106">
        <f t="shared" si="2"/>
        <v>5.276237623762376</v>
      </c>
    </row>
    <row r="18" spans="2:18" ht="12.75">
      <c r="B18" s="107">
        <f t="shared" si="3"/>
        <v>0</v>
      </c>
      <c r="C18" s="106">
        <f t="shared" si="1"/>
        <v>0</v>
      </c>
      <c r="D18" s="106">
        <f t="shared" si="2"/>
        <v>0</v>
      </c>
      <c r="E18" s="106">
        <f t="shared" si="2"/>
        <v>0</v>
      </c>
      <c r="F18" s="106">
        <f t="shared" si="2"/>
        <v>0</v>
      </c>
      <c r="G18" s="106">
        <f t="shared" si="2"/>
        <v>0</v>
      </c>
      <c r="H18" s="106">
        <f t="shared" si="2"/>
        <v>0</v>
      </c>
      <c r="I18" s="106">
        <f t="shared" si="2"/>
        <v>0</v>
      </c>
      <c r="J18" s="106">
        <f t="shared" si="2"/>
        <v>0</v>
      </c>
      <c r="K18" s="106">
        <f t="shared" si="2"/>
        <v>0</v>
      </c>
      <c r="L18" s="106">
        <f t="shared" si="2"/>
        <v>0</v>
      </c>
      <c r="M18" s="106">
        <f t="shared" si="2"/>
        <v>0</v>
      </c>
      <c r="N18" s="106">
        <f t="shared" si="2"/>
        <v>0</v>
      </c>
      <c r="O18" s="106">
        <f t="shared" si="2"/>
        <v>0</v>
      </c>
      <c r="P18" s="106">
        <f t="shared" si="2"/>
        <v>0</v>
      </c>
      <c r="Q18" s="106">
        <f t="shared" si="2"/>
        <v>0</v>
      </c>
      <c r="R18" s="106">
        <f t="shared" si="2"/>
        <v>0</v>
      </c>
    </row>
    <row r="19" spans="2:18" ht="12.75">
      <c r="B19" s="107">
        <f t="shared" si="3"/>
        <v>-5</v>
      </c>
      <c r="C19" s="106">
        <f t="shared" si="1"/>
        <v>-5</v>
      </c>
      <c r="D19" s="106">
        <f t="shared" si="2"/>
        <v>-5.018415841584158</v>
      </c>
      <c r="E19" s="106">
        <f t="shared" si="2"/>
        <v>-5.036831683168317</v>
      </c>
      <c r="F19" s="106">
        <f t="shared" si="2"/>
        <v>-5.055247524752475</v>
      </c>
      <c r="G19" s="106">
        <f t="shared" si="2"/>
        <v>-5.073663366336633</v>
      </c>
      <c r="H19" s="106">
        <f t="shared" si="2"/>
        <v>-5.092079207920792</v>
      </c>
      <c r="I19" s="106">
        <f t="shared" si="2"/>
        <v>-5.110495049504951</v>
      </c>
      <c r="J19" s="106">
        <f t="shared" si="2"/>
        <v>-5.128910891089109</v>
      </c>
      <c r="K19" s="106">
        <f t="shared" si="2"/>
        <v>-5.147326732673267</v>
      </c>
      <c r="L19" s="106">
        <f t="shared" si="2"/>
        <v>-5.1657425742574254</v>
      </c>
      <c r="M19" s="106">
        <f t="shared" si="2"/>
        <v>-5.184158415841584</v>
      </c>
      <c r="N19" s="106">
        <f t="shared" si="2"/>
        <v>-5.202574257425742</v>
      </c>
      <c r="O19" s="106">
        <f t="shared" si="2"/>
        <v>-5.220990099009901</v>
      </c>
      <c r="P19" s="106">
        <f t="shared" si="2"/>
        <v>-5.23940594059406</v>
      </c>
      <c r="Q19" s="106">
        <f t="shared" si="2"/>
        <v>-5.257821782178217</v>
      </c>
      <c r="R19" s="106">
        <f t="shared" si="2"/>
        <v>-5.276237623762376</v>
      </c>
    </row>
    <row r="20" spans="2:18" ht="12.75">
      <c r="B20" s="107">
        <f t="shared" si="3"/>
        <v>-10</v>
      </c>
      <c r="C20" s="106">
        <f t="shared" si="1"/>
        <v>-10</v>
      </c>
      <c r="D20" s="106">
        <f t="shared" si="2"/>
        <v>-10.036831683168316</v>
      </c>
      <c r="E20" s="106">
        <f t="shared" si="2"/>
        <v>-10.073663366336634</v>
      </c>
      <c r="F20" s="106">
        <f t="shared" si="2"/>
        <v>-10.11049504950495</v>
      </c>
      <c r="G20" s="106">
        <f t="shared" si="2"/>
        <v>-10.147326732673266</v>
      </c>
      <c r="H20" s="106">
        <f t="shared" si="2"/>
        <v>-10.184158415841583</v>
      </c>
      <c r="I20" s="106">
        <f t="shared" si="2"/>
        <v>-10.220990099009901</v>
      </c>
      <c r="J20" s="106">
        <f t="shared" si="2"/>
        <v>-10.257821782178217</v>
      </c>
      <c r="K20" s="106">
        <f t="shared" si="2"/>
        <v>-10.294653465346533</v>
      </c>
      <c r="L20" s="106">
        <f t="shared" si="2"/>
        <v>-10.331485148514851</v>
      </c>
      <c r="M20" s="106">
        <f t="shared" si="2"/>
        <v>-10.368316831683169</v>
      </c>
      <c r="N20" s="106">
        <f t="shared" si="2"/>
        <v>-10.405148514851485</v>
      </c>
      <c r="O20" s="106">
        <f t="shared" si="2"/>
        <v>-10.441980198019802</v>
      </c>
      <c r="P20" s="106">
        <f t="shared" si="2"/>
        <v>-10.47881188118812</v>
      </c>
      <c r="Q20" s="106">
        <f t="shared" si="2"/>
        <v>-10.515643564356434</v>
      </c>
      <c r="R20" s="106">
        <f t="shared" si="2"/>
        <v>-10.552475247524752</v>
      </c>
    </row>
    <row r="21" spans="2:18" ht="12.75">
      <c r="B21" s="107">
        <f t="shared" si="3"/>
        <v>-15</v>
      </c>
      <c r="C21" s="106">
        <f t="shared" si="1"/>
        <v>-15</v>
      </c>
      <c r="D21" s="106">
        <f t="shared" si="2"/>
        <v>-15.055247524752476</v>
      </c>
      <c r="E21" s="106">
        <f t="shared" si="2"/>
        <v>-15.11049504950495</v>
      </c>
      <c r="F21" s="106">
        <f t="shared" si="2"/>
        <v>-15.165742574257427</v>
      </c>
      <c r="G21" s="106">
        <f t="shared" si="2"/>
        <v>-15.220990099009901</v>
      </c>
      <c r="H21" s="106">
        <f t="shared" si="2"/>
        <v>-15.276237623762377</v>
      </c>
      <c r="I21" s="106">
        <f t="shared" si="2"/>
        <v>-15.331485148514851</v>
      </c>
      <c r="J21" s="106">
        <f t="shared" si="2"/>
        <v>-15.386732673267327</v>
      </c>
      <c r="K21" s="106">
        <f t="shared" si="2"/>
        <v>-15.441980198019802</v>
      </c>
      <c r="L21" s="106">
        <f t="shared" si="2"/>
        <v>-15.497227722772278</v>
      </c>
      <c r="M21" s="106">
        <f t="shared" si="2"/>
        <v>-15.552475247524752</v>
      </c>
      <c r="N21" s="106">
        <f t="shared" si="2"/>
        <v>-15.607722772277228</v>
      </c>
      <c r="O21" s="106">
        <f t="shared" si="2"/>
        <v>-15.662970297029704</v>
      </c>
      <c r="P21" s="106">
        <f t="shared" si="2"/>
        <v>-15.71821782178218</v>
      </c>
      <c r="Q21" s="106">
        <f t="shared" si="2"/>
        <v>-15.773465346534653</v>
      </c>
      <c r="R21" s="106">
        <f t="shared" si="2"/>
        <v>-15.828712871287129</v>
      </c>
    </row>
    <row r="22" spans="2:18" ht="12.75">
      <c r="B22" s="107">
        <f t="shared" si="3"/>
        <v>-20</v>
      </c>
      <c r="C22" s="106">
        <f t="shared" si="1"/>
        <v>-20</v>
      </c>
      <c r="D22" s="106">
        <f t="shared" si="2"/>
        <v>-20.073663366336632</v>
      </c>
      <c r="E22" s="106">
        <f t="shared" si="2"/>
        <v>-20.147326732673267</v>
      </c>
      <c r="F22" s="106">
        <f t="shared" si="2"/>
        <v>-20.2209900990099</v>
      </c>
      <c r="G22" s="106">
        <f t="shared" si="2"/>
        <v>-20.29465346534653</v>
      </c>
      <c r="H22" s="106">
        <f t="shared" si="2"/>
        <v>-20.368316831683167</v>
      </c>
      <c r="I22" s="106">
        <f t="shared" si="2"/>
        <v>-20.441980198019802</v>
      </c>
      <c r="J22" s="106">
        <f t="shared" si="2"/>
        <v>-20.515643564356434</v>
      </c>
      <c r="K22" s="106">
        <f t="shared" si="2"/>
        <v>-20.589306930693066</v>
      </c>
      <c r="L22" s="106">
        <f t="shared" si="2"/>
        <v>-20.662970297029702</v>
      </c>
      <c r="M22" s="106">
        <f t="shared" si="2"/>
        <v>-20.736633663366337</v>
      </c>
      <c r="N22" s="106">
        <f t="shared" si="2"/>
        <v>-20.81029702970297</v>
      </c>
      <c r="O22" s="106">
        <f t="shared" si="2"/>
        <v>-20.883960396039605</v>
      </c>
      <c r="P22" s="106">
        <f t="shared" si="2"/>
        <v>-20.95762376237624</v>
      </c>
      <c r="Q22" s="106">
        <f t="shared" si="2"/>
        <v>-21.03128712871287</v>
      </c>
      <c r="R22" s="106">
        <f t="shared" si="2"/>
        <v>-21.104950495049504</v>
      </c>
    </row>
    <row r="24" spans="2:6" ht="12.75">
      <c r="B24" s="107" t="s">
        <v>17</v>
      </c>
      <c r="F24" s="107"/>
    </row>
    <row r="26" spans="2:18" ht="12.75">
      <c r="B26" s="106" t="s">
        <v>15</v>
      </c>
      <c r="C26" s="107">
        <v>0</v>
      </c>
      <c r="D26" s="107">
        <v>25</v>
      </c>
      <c r="E26" s="107"/>
      <c r="F26" s="109"/>
      <c r="L26" s="107"/>
      <c r="M26" s="107"/>
      <c r="N26" s="107"/>
      <c r="O26" s="107"/>
      <c r="P26" s="107"/>
      <c r="Q26" s="107"/>
      <c r="R26" s="107"/>
    </row>
    <row r="27" ht="12.75">
      <c r="C27" s="106" t="s">
        <v>16</v>
      </c>
    </row>
    <row r="28" spans="1:4" ht="12.75">
      <c r="A28" s="106" t="s">
        <v>18</v>
      </c>
      <c r="B28" s="106">
        <v>115</v>
      </c>
      <c r="C28" s="106">
        <f aca="true" t="shared" si="4" ref="C28:D53">($B28-C$26*2.501)/1.01</f>
        <v>113.86138613861387</v>
      </c>
      <c r="D28" s="106">
        <f t="shared" si="4"/>
        <v>51.95544554455446</v>
      </c>
    </row>
    <row r="29" spans="2:4" ht="12.75">
      <c r="B29" s="106">
        <f>B28-5</f>
        <v>110</v>
      </c>
      <c r="C29" s="106">
        <f t="shared" si="4"/>
        <v>108.91089108910892</v>
      </c>
      <c r="D29" s="106">
        <f t="shared" si="4"/>
        <v>47.004950495049506</v>
      </c>
    </row>
    <row r="30" spans="2:4" ht="12.75">
      <c r="B30" s="106">
        <f aca="true" t="shared" si="5" ref="B30:B52">B29-5</f>
        <v>105</v>
      </c>
      <c r="C30" s="106">
        <f t="shared" si="4"/>
        <v>103.96039603960396</v>
      </c>
      <c r="D30" s="106">
        <f t="shared" si="4"/>
        <v>42.054455445544555</v>
      </c>
    </row>
    <row r="31" spans="2:4" ht="12.75">
      <c r="B31" s="106">
        <f t="shared" si="5"/>
        <v>100</v>
      </c>
      <c r="C31" s="106">
        <f t="shared" si="4"/>
        <v>99.00990099009901</v>
      </c>
      <c r="D31" s="106">
        <f t="shared" si="4"/>
        <v>37.103960396039604</v>
      </c>
    </row>
    <row r="32" spans="2:4" ht="12.75">
      <c r="B32" s="106">
        <f t="shared" si="5"/>
        <v>95</v>
      </c>
      <c r="C32" s="106">
        <f t="shared" si="4"/>
        <v>94.05940594059406</v>
      </c>
      <c r="D32" s="106">
        <f t="shared" si="4"/>
        <v>32.15346534653465</v>
      </c>
    </row>
    <row r="33" spans="2:4" ht="12.75">
      <c r="B33" s="106">
        <f t="shared" si="5"/>
        <v>90</v>
      </c>
      <c r="C33" s="106">
        <f t="shared" si="4"/>
        <v>89.10891089108911</v>
      </c>
      <c r="D33" s="106">
        <f t="shared" si="4"/>
        <v>27.202970297029704</v>
      </c>
    </row>
    <row r="34" spans="2:4" ht="12.75">
      <c r="B34" s="106">
        <f t="shared" si="5"/>
        <v>85</v>
      </c>
      <c r="C34" s="106">
        <f t="shared" si="4"/>
        <v>84.15841584158416</v>
      </c>
      <c r="D34" s="106">
        <f t="shared" si="4"/>
        <v>22.252475247524753</v>
      </c>
    </row>
    <row r="35" spans="2:4" ht="12.75">
      <c r="B35" s="106">
        <f t="shared" si="5"/>
        <v>80</v>
      </c>
      <c r="C35" s="106">
        <f t="shared" si="4"/>
        <v>79.20792079207921</v>
      </c>
      <c r="D35" s="106">
        <f t="shared" si="4"/>
        <v>17.301980198019802</v>
      </c>
    </row>
    <row r="36" spans="2:4" ht="12.75">
      <c r="B36" s="106">
        <f t="shared" si="5"/>
        <v>75</v>
      </c>
      <c r="C36" s="106">
        <f t="shared" si="4"/>
        <v>74.25742574257426</v>
      </c>
      <c r="D36" s="106">
        <f t="shared" si="4"/>
        <v>12.351485148514852</v>
      </c>
    </row>
    <row r="37" spans="2:4" ht="12.75">
      <c r="B37" s="106">
        <f t="shared" si="5"/>
        <v>70</v>
      </c>
      <c r="C37" s="106">
        <f t="shared" si="4"/>
        <v>69.3069306930693</v>
      </c>
      <c r="D37" s="106">
        <f t="shared" si="4"/>
        <v>7.400990099009903</v>
      </c>
    </row>
    <row r="38" spans="2:4" ht="12.75">
      <c r="B38" s="106">
        <f t="shared" si="5"/>
        <v>65</v>
      </c>
      <c r="C38" s="106">
        <f t="shared" si="4"/>
        <v>64.35643564356435</v>
      </c>
      <c r="D38" s="106">
        <f t="shared" si="4"/>
        <v>2.450495049504952</v>
      </c>
    </row>
    <row r="39" spans="2:4" ht="12.75">
      <c r="B39" s="106">
        <f t="shared" si="5"/>
        <v>60</v>
      </c>
      <c r="C39" s="106">
        <f t="shared" si="4"/>
        <v>59.40594059405941</v>
      </c>
      <c r="D39" s="106">
        <f t="shared" si="4"/>
        <v>-2.4999999999999987</v>
      </c>
    </row>
    <row r="40" spans="2:4" ht="12.75">
      <c r="B40" s="106">
        <f t="shared" si="5"/>
        <v>55</v>
      </c>
      <c r="C40" s="106">
        <f t="shared" si="4"/>
        <v>54.45544554455446</v>
      </c>
      <c r="D40" s="106">
        <f t="shared" si="4"/>
        <v>-7.450495049504949</v>
      </c>
    </row>
    <row r="41" spans="2:4" ht="12.75">
      <c r="B41" s="106">
        <f t="shared" si="5"/>
        <v>50</v>
      </c>
      <c r="C41" s="106">
        <f t="shared" si="4"/>
        <v>49.504950495049506</v>
      </c>
      <c r="D41" s="106">
        <f t="shared" si="4"/>
        <v>-12.4009900990099</v>
      </c>
    </row>
    <row r="42" spans="2:4" ht="12.75">
      <c r="B42" s="106">
        <f t="shared" si="5"/>
        <v>45</v>
      </c>
      <c r="C42" s="106">
        <f t="shared" si="4"/>
        <v>44.554455445544555</v>
      </c>
      <c r="D42" s="106">
        <f t="shared" si="4"/>
        <v>-17.35148514851485</v>
      </c>
    </row>
    <row r="43" spans="2:4" ht="12.75">
      <c r="B43" s="106">
        <f t="shared" si="5"/>
        <v>40</v>
      </c>
      <c r="C43" s="106">
        <f t="shared" si="4"/>
        <v>39.603960396039604</v>
      </c>
      <c r="D43" s="106">
        <f t="shared" si="4"/>
        <v>-22.301980198019802</v>
      </c>
    </row>
    <row r="44" spans="2:4" ht="12.75">
      <c r="B44" s="106">
        <f t="shared" si="5"/>
        <v>35</v>
      </c>
      <c r="C44" s="106">
        <f t="shared" si="4"/>
        <v>34.65346534653465</v>
      </c>
      <c r="D44" s="106">
        <f t="shared" si="4"/>
        <v>-27.25247524752475</v>
      </c>
    </row>
    <row r="45" spans="2:4" ht="12.75">
      <c r="B45" s="106">
        <f t="shared" si="5"/>
        <v>30</v>
      </c>
      <c r="C45" s="106">
        <f t="shared" si="4"/>
        <v>29.702970297029704</v>
      </c>
      <c r="D45" s="106">
        <f t="shared" si="4"/>
        <v>-32.2029702970297</v>
      </c>
    </row>
    <row r="46" spans="2:4" ht="12.75">
      <c r="B46" s="106">
        <f t="shared" si="5"/>
        <v>25</v>
      </c>
      <c r="C46" s="106">
        <f t="shared" si="4"/>
        <v>24.752475247524753</v>
      </c>
      <c r="D46" s="106">
        <f t="shared" si="4"/>
        <v>-37.15346534653465</v>
      </c>
    </row>
    <row r="47" spans="2:4" ht="12.75">
      <c r="B47" s="106">
        <f t="shared" si="5"/>
        <v>20</v>
      </c>
      <c r="C47" s="106">
        <f t="shared" si="4"/>
        <v>19.801980198019802</v>
      </c>
      <c r="D47" s="106">
        <f t="shared" si="4"/>
        <v>-42.103960396039604</v>
      </c>
    </row>
    <row r="48" spans="2:4" ht="12.75">
      <c r="B48" s="106">
        <f t="shared" si="5"/>
        <v>15</v>
      </c>
      <c r="C48" s="106">
        <f t="shared" si="4"/>
        <v>14.851485148514852</v>
      </c>
      <c r="D48" s="106">
        <f t="shared" si="4"/>
        <v>-47.054455445544555</v>
      </c>
    </row>
    <row r="49" spans="2:4" ht="12.75">
      <c r="B49" s="106">
        <f t="shared" si="5"/>
        <v>10</v>
      </c>
      <c r="C49" s="106">
        <f t="shared" si="4"/>
        <v>9.900990099009901</v>
      </c>
      <c r="D49" s="106">
        <f t="shared" si="4"/>
        <v>-52.004950495049506</v>
      </c>
    </row>
    <row r="50" spans="2:4" ht="12.75">
      <c r="B50" s="106">
        <f t="shared" si="5"/>
        <v>5</v>
      </c>
      <c r="C50" s="106">
        <f t="shared" si="4"/>
        <v>4.9504950495049505</v>
      </c>
      <c r="D50" s="106">
        <f t="shared" si="4"/>
        <v>-56.95544554455445</v>
      </c>
    </row>
    <row r="51" spans="2:4" ht="12.75">
      <c r="B51" s="106">
        <f t="shared" si="5"/>
        <v>0</v>
      </c>
      <c r="C51" s="106">
        <f t="shared" si="4"/>
        <v>0</v>
      </c>
      <c r="D51" s="106">
        <f t="shared" si="4"/>
        <v>-61.9059405940594</v>
      </c>
    </row>
    <row r="52" spans="2:4" ht="12.75">
      <c r="B52" s="106">
        <f t="shared" si="5"/>
        <v>-5</v>
      </c>
      <c r="C52" s="106">
        <f t="shared" si="4"/>
        <v>-4.9504950495049505</v>
      </c>
      <c r="D52" s="106">
        <f t="shared" si="4"/>
        <v>-66.85643564356437</v>
      </c>
    </row>
    <row r="53" spans="2:4" ht="12.75">
      <c r="B53" s="106">
        <f>B52-5</f>
        <v>-10</v>
      </c>
      <c r="C53" s="106">
        <f t="shared" si="4"/>
        <v>-9.900990099009901</v>
      </c>
      <c r="D53" s="106">
        <f t="shared" si="4"/>
        <v>-71.80693069306932</v>
      </c>
    </row>
    <row r="54" spans="2:4" ht="12.75">
      <c r="B54" s="106">
        <f>B53-5</f>
        <v>-15</v>
      </c>
      <c r="C54" s="106">
        <f>($B54-C$26*2.501)/1.01</f>
        <v>-14.851485148514852</v>
      </c>
      <c r="D54" s="106">
        <f>($B54-D$26*2.501)/1.01</f>
        <v>-76.75742574257426</v>
      </c>
    </row>
    <row r="55" spans="2:4" ht="12.75">
      <c r="B55" s="106">
        <f>B54-5</f>
        <v>-20</v>
      </c>
      <c r="C55" s="106">
        <f>($B55-C$26*2.501)/1.01</f>
        <v>-19.801980198019802</v>
      </c>
      <c r="D55" s="106">
        <f>($B55-D$26*2.501)/1.01</f>
        <v>-81.70792079207921</v>
      </c>
    </row>
    <row r="57" ht="12.75">
      <c r="B57" s="107" t="s">
        <v>20</v>
      </c>
    </row>
    <row r="59" spans="2:20" ht="12.75">
      <c r="B59" s="107" t="s">
        <v>19</v>
      </c>
      <c r="C59" s="107" t="s">
        <v>0</v>
      </c>
      <c r="D59" s="106">
        <v>-20</v>
      </c>
      <c r="E59" s="106">
        <f>D59+5</f>
        <v>-15</v>
      </c>
      <c r="F59" s="106">
        <f aca="true" t="shared" si="6" ref="F59:T59">E59+5</f>
        <v>-10</v>
      </c>
      <c r="G59" s="106">
        <f t="shared" si="6"/>
        <v>-5</v>
      </c>
      <c r="H59" s="106">
        <f t="shared" si="6"/>
        <v>0</v>
      </c>
      <c r="I59" s="106">
        <f t="shared" si="6"/>
        <v>5</v>
      </c>
      <c r="J59" s="106">
        <f t="shared" si="6"/>
        <v>10</v>
      </c>
      <c r="K59" s="106">
        <f t="shared" si="6"/>
        <v>15</v>
      </c>
      <c r="L59" s="106">
        <f t="shared" si="6"/>
        <v>20</v>
      </c>
      <c r="M59" s="106">
        <f t="shared" si="6"/>
        <v>25</v>
      </c>
      <c r="N59" s="106">
        <f t="shared" si="6"/>
        <v>30</v>
      </c>
      <c r="O59" s="106">
        <f t="shared" si="6"/>
        <v>35</v>
      </c>
      <c r="P59" s="106">
        <f t="shared" si="6"/>
        <v>40</v>
      </c>
      <c r="Q59" s="106">
        <f t="shared" si="6"/>
        <v>45</v>
      </c>
      <c r="R59" s="106">
        <f t="shared" si="6"/>
        <v>50</v>
      </c>
      <c r="S59" s="106">
        <f t="shared" si="6"/>
        <v>55</v>
      </c>
      <c r="T59" s="106">
        <f t="shared" si="6"/>
        <v>60</v>
      </c>
    </row>
    <row r="60" spans="3:20" ht="12.75">
      <c r="C60" s="107" t="s">
        <v>9</v>
      </c>
      <c r="D60" s="110">
        <f>IF(D59&lt;-50,#N/A,IF(D59&lt;0,EXP((1738.4+28.74*D59)/(271+D59)),IF(D59&lt;=100,EXP((1500.3+23.5*D59)/(234+D59)),#N/A)))</f>
        <v>103.116206808223</v>
      </c>
      <c r="E60" s="110">
        <f aca="true" t="shared" si="7" ref="E60:T60">IF(E59&lt;-50,#N/A,IF(E59&lt;0,EXP((1738.4+28.74*E59)/(271+E59)),IF(E59&lt;=100,EXP((1500.3+23.5*E59)/(234+E59)),#N/A)))</f>
        <v>165.11473980753547</v>
      </c>
      <c r="F60" s="110">
        <f t="shared" si="7"/>
        <v>259.6636067668372</v>
      </c>
      <c r="G60" s="110">
        <f t="shared" si="7"/>
        <v>401.4619591023237</v>
      </c>
      <c r="H60" s="110">
        <f t="shared" si="7"/>
        <v>608.8296218791319</v>
      </c>
      <c r="I60" s="110">
        <f t="shared" si="7"/>
        <v>870.4737963383486</v>
      </c>
      <c r="J60" s="110">
        <f t="shared" si="7"/>
        <v>1226.457542007002</v>
      </c>
      <c r="K60" s="110">
        <f t="shared" si="7"/>
        <v>1704.3922173795506</v>
      </c>
      <c r="L60" s="110">
        <f t="shared" si="7"/>
        <v>2338.0829353370973</v>
      </c>
      <c r="M60" s="110">
        <f t="shared" si="7"/>
        <v>3168.4692411126584</v>
      </c>
      <c r="N60" s="110">
        <f t="shared" si="7"/>
        <v>4244.626423173751</v>
      </c>
      <c r="O60" s="110">
        <f t="shared" si="7"/>
        <v>5624.820063884488</v>
      </c>
      <c r="P60" s="110">
        <f t="shared" si="7"/>
        <v>7377.605297927314</v>
      </c>
      <c r="Q60" s="110">
        <f t="shared" si="7"/>
        <v>9582.961295683825</v>
      </c>
      <c r="R60" s="110">
        <f t="shared" si="7"/>
        <v>12333.450742008006</v>
      </c>
      <c r="S60" s="110">
        <f t="shared" si="7"/>
        <v>15735.393546251327</v>
      </c>
      <c r="T60" s="110">
        <f t="shared" si="7"/>
        <v>19910.04369808775</v>
      </c>
    </row>
    <row r="61" spans="2:20" ht="12.75">
      <c r="B61" s="109">
        <v>1</v>
      </c>
      <c r="C61" s="107" t="s">
        <v>2</v>
      </c>
      <c r="D61" s="106">
        <f>0.6222*$B61*D$60/(Tlak_vzduchu-$B61*D$60/1000)</f>
        <v>0.679671841886625</v>
      </c>
      <c r="E61" s="106">
        <f aca="true" t="shared" si="8" ref="E61:T79">0.6222*$B61*E$60/(Tlak_vzduchu-$B61*E$60/1000)</f>
        <v>1.0890392332050733</v>
      </c>
      <c r="F61" s="106">
        <f t="shared" si="8"/>
        <v>1.7143688394338854</v>
      </c>
      <c r="G61" s="106">
        <f t="shared" si="8"/>
        <v>2.6545537917379836</v>
      </c>
      <c r="H61" s="106">
        <f t="shared" si="8"/>
        <v>4.034605056126444</v>
      </c>
      <c r="I61" s="106">
        <f t="shared" si="8"/>
        <v>5.784594006207192</v>
      </c>
      <c r="J61" s="106">
        <f t="shared" si="8"/>
        <v>8.181332696572877</v>
      </c>
      <c r="K61" s="106">
        <f t="shared" si="8"/>
        <v>11.428049915226383</v>
      </c>
      <c r="L61" s="106">
        <f t="shared" si="8"/>
        <v>15.784775845602827</v>
      </c>
      <c r="M61" s="106">
        <f t="shared" si="8"/>
        <v>21.58533362399009</v>
      </c>
      <c r="N61" s="106">
        <f t="shared" si="8"/>
        <v>29.261488328455677</v>
      </c>
      <c r="O61" s="106">
        <f t="shared" si="8"/>
        <v>39.378407405358814</v>
      </c>
      <c r="P61" s="106">
        <f t="shared" si="8"/>
        <v>52.688473865619855</v>
      </c>
      <c r="Q61" s="106">
        <f t="shared" si="8"/>
        <v>70.21580838371148</v>
      </c>
      <c r="R61" s="106">
        <f t="shared" si="8"/>
        <v>93.39412596703367</v>
      </c>
      <c r="S61" s="106">
        <f t="shared" si="8"/>
        <v>124.30153980679998</v>
      </c>
      <c r="T61" s="106">
        <f t="shared" si="8"/>
        <v>166.08173275780035</v>
      </c>
    </row>
    <row r="62" spans="3:20" ht="12.75">
      <c r="C62" s="107" t="s">
        <v>8</v>
      </c>
      <c r="D62" s="106">
        <f aca="true" t="shared" si="9" ref="D62:T62">(1.01*D$59+0.00186*D$59*D61)/1.01</f>
        <v>-20.025033457938793</v>
      </c>
      <c r="E62" s="106">
        <f t="shared" si="9"/>
        <v>-15.030083360996457</v>
      </c>
      <c r="F62" s="106">
        <f t="shared" si="9"/>
        <v>-10.03157154496383</v>
      </c>
      <c r="G62" s="106">
        <f t="shared" si="9"/>
        <v>-5.0244429210526365</v>
      </c>
      <c r="H62" s="106">
        <f t="shared" si="9"/>
        <v>0</v>
      </c>
      <c r="I62" s="106">
        <f t="shared" si="9"/>
        <v>5.053264083423492</v>
      </c>
      <c r="J62" s="106">
        <f t="shared" si="9"/>
        <v>10.150666126887382</v>
      </c>
      <c r="K62" s="106">
        <f t="shared" si="9"/>
        <v>15.315685735281996</v>
      </c>
      <c r="L62" s="106">
        <f t="shared" si="9"/>
        <v>20.581379862828143</v>
      </c>
      <c r="M62" s="106">
        <f t="shared" si="9"/>
        <v>25.99378021140152</v>
      </c>
      <c r="N62" s="106">
        <f t="shared" si="9"/>
        <v>31.616624800720622</v>
      </c>
      <c r="O62" s="106">
        <f t="shared" si="9"/>
        <v>37.538152794147386</v>
      </c>
      <c r="P62" s="106">
        <f t="shared" si="9"/>
        <v>43.881210352081304</v>
      </c>
      <c r="Q62" s="106">
        <f t="shared" si="9"/>
        <v>50.81887441754124</v>
      </c>
      <c r="R62" s="106">
        <f t="shared" si="9"/>
        <v>58.599657143499144</v>
      </c>
      <c r="S62" s="106">
        <f t="shared" si="9"/>
        <v>67.59014606161945</v>
      </c>
      <c r="T62" s="106">
        <f t="shared" si="9"/>
        <v>78.35120928294111</v>
      </c>
    </row>
    <row r="63" spans="2:20" ht="12.75">
      <c r="B63" s="109">
        <f>B61-0.1</f>
        <v>0.9</v>
      </c>
      <c r="C63" s="106" t="s">
        <v>2</v>
      </c>
      <c r="F63" s="106">
        <f t="shared" si="8"/>
        <v>1.5425069433017784</v>
      </c>
      <c r="G63" s="106">
        <f t="shared" si="8"/>
        <v>2.3880795624103173</v>
      </c>
      <c r="H63" s="106">
        <f t="shared" si="8"/>
        <v>3.628791490325035</v>
      </c>
      <c r="I63" s="106">
        <f t="shared" si="8"/>
        <v>5.201298957438983</v>
      </c>
      <c r="J63" s="106">
        <f t="shared" si="8"/>
        <v>7.353530240578003</v>
      </c>
      <c r="K63" s="106">
        <f t="shared" si="8"/>
        <v>10.266388478833093</v>
      </c>
      <c r="L63" s="106">
        <f t="shared" si="8"/>
        <v>14.170349083296838</v>
      </c>
      <c r="M63" s="106">
        <f t="shared" si="8"/>
        <v>19.359637895340587</v>
      </c>
      <c r="N63" s="106">
        <f t="shared" si="8"/>
        <v>26.2120665801009</v>
      </c>
      <c r="O63" s="106">
        <f t="shared" si="8"/>
        <v>35.21767755287378</v>
      </c>
      <c r="P63" s="106">
        <f t="shared" si="8"/>
        <v>47.0214445197677</v>
      </c>
      <c r="Q63" s="106">
        <f t="shared" si="8"/>
        <v>62.48903339634625</v>
      </c>
      <c r="R63" s="106">
        <f t="shared" si="8"/>
        <v>82.81168461677181</v>
      </c>
      <c r="S63" s="106">
        <f t="shared" si="8"/>
        <v>109.68022213317471</v>
      </c>
      <c r="T63" s="106">
        <f t="shared" si="8"/>
        <v>145.58744330524235</v>
      </c>
    </row>
    <row r="64" spans="3:20" ht="12.75">
      <c r="C64" s="106" t="s">
        <v>8</v>
      </c>
      <c r="F64" s="106">
        <f aca="true" t="shared" si="10" ref="F64:T64">(1.01*F$59+0.00186*F$59*F63)/1.01</f>
        <v>-10.028406563510309</v>
      </c>
      <c r="G64" s="106">
        <f t="shared" si="10"/>
        <v>-5.021989247455857</v>
      </c>
      <c r="H64" s="106">
        <f t="shared" si="10"/>
        <v>0</v>
      </c>
      <c r="I64" s="106">
        <f t="shared" si="10"/>
        <v>5.047893148816022</v>
      </c>
      <c r="J64" s="106">
        <f t="shared" si="10"/>
        <v>10.135421447994803</v>
      </c>
      <c r="K64" s="106">
        <f t="shared" si="10"/>
        <v>15.283596275801429</v>
      </c>
      <c r="L64" s="106">
        <f t="shared" si="10"/>
        <v>20.521917807820437</v>
      </c>
      <c r="M64" s="106">
        <f t="shared" si="10"/>
        <v>25.891310061518155</v>
      </c>
      <c r="N64" s="106">
        <f t="shared" si="10"/>
        <v>31.448151797197653</v>
      </c>
      <c r="O64" s="106">
        <f t="shared" si="10"/>
        <v>37.26997109771494</v>
      </c>
      <c r="P64" s="106">
        <f t="shared" si="10"/>
        <v>43.46375789333734</v>
      </c>
      <c r="Q64" s="106">
        <f t="shared" si="10"/>
        <v>50.178546628984336</v>
      </c>
      <c r="R64" s="106">
        <f t="shared" si="10"/>
        <v>57.62523432609879</v>
      </c>
      <c r="S64" s="106">
        <f t="shared" si="10"/>
        <v>66.10919477645918</v>
      </c>
      <c r="T64" s="106">
        <f t="shared" si="10"/>
        <v>76.08669175531193</v>
      </c>
    </row>
    <row r="65" spans="2:20" ht="12.75">
      <c r="B65" s="109">
        <f>B63-0.1</f>
        <v>0.8</v>
      </c>
      <c r="C65" s="106" t="s">
        <v>2</v>
      </c>
      <c r="D65" s="106">
        <f>0.6222*$B65*D$60/(Tlak_vzduchu-$B65*D$60/1000)</f>
        <v>0.5436187070908067</v>
      </c>
      <c r="E65" s="106">
        <f t="shared" si="8"/>
        <v>0.8709265093098391</v>
      </c>
      <c r="F65" s="106">
        <f t="shared" si="8"/>
        <v>1.3707397023948227</v>
      </c>
      <c r="G65" s="106">
        <f t="shared" si="8"/>
        <v>2.1218325163374527</v>
      </c>
      <c r="H65" s="106">
        <f t="shared" si="8"/>
        <v>3.2235035358480615</v>
      </c>
      <c r="I65" s="106">
        <f t="shared" si="8"/>
        <v>4.619086474674672</v>
      </c>
      <c r="J65" s="106">
        <f t="shared" si="8"/>
        <v>6.527899036131902</v>
      </c>
      <c r="K65" s="106">
        <f t="shared" si="8"/>
        <v>9.10897870962555</v>
      </c>
      <c r="L65" s="106">
        <f t="shared" si="8"/>
        <v>12.56407234294279</v>
      </c>
      <c r="M65" s="106">
        <f t="shared" si="8"/>
        <v>17.14927850384772</v>
      </c>
      <c r="N65" s="106">
        <f t="shared" si="8"/>
        <v>23.19105985999445</v>
      </c>
      <c r="O65" s="106">
        <f t="shared" si="8"/>
        <v>31.10895507666128</v>
      </c>
      <c r="P65" s="106">
        <f t="shared" si="8"/>
        <v>41.4487946079373</v>
      </c>
      <c r="Q65" s="106">
        <f t="shared" si="8"/>
        <v>54.93280381822583</v>
      </c>
      <c r="R65" s="106">
        <f t="shared" si="8"/>
        <v>72.53767532001295</v>
      </c>
      <c r="S65" s="106">
        <f t="shared" si="8"/>
        <v>95.62066115470576</v>
      </c>
      <c r="T65" s="106">
        <f t="shared" si="8"/>
        <v>126.13179963008344</v>
      </c>
    </row>
    <row r="66" spans="3:20" ht="12.75">
      <c r="C66" s="106" t="s">
        <v>8</v>
      </c>
      <c r="D66" s="106">
        <f aca="true" t="shared" si="11" ref="D66:T66">(1.01*D$59+0.00186*D$59*D65)/1.01</f>
        <v>-20.020022391983936</v>
      </c>
      <c r="E66" s="106">
        <f t="shared" si="11"/>
        <v>-15.02405826694034</v>
      </c>
      <c r="F66" s="106">
        <f t="shared" si="11"/>
        <v>-10.025243325212418</v>
      </c>
      <c r="G66" s="106">
        <f t="shared" si="11"/>
        <v>-5.019537665744493</v>
      </c>
      <c r="H66" s="106">
        <f t="shared" si="11"/>
        <v>0</v>
      </c>
      <c r="I66" s="106">
        <f t="shared" si="11"/>
        <v>5.042532182390568</v>
      </c>
      <c r="J66" s="106">
        <f t="shared" si="11"/>
        <v>10.120216754526785</v>
      </c>
      <c r="K66" s="106">
        <f t="shared" si="11"/>
        <v>15.251624263364905</v>
      </c>
      <c r="L66" s="106">
        <f t="shared" si="11"/>
        <v>20.46275593183908</v>
      </c>
      <c r="M66" s="106">
        <f t="shared" si="11"/>
        <v>25.78954599052368</v>
      </c>
      <c r="N66" s="106">
        <f t="shared" si="11"/>
        <v>31.28124865365118</v>
      </c>
      <c r="O66" s="106">
        <f t="shared" si="11"/>
        <v>37.00514155989173</v>
      </c>
      <c r="P66" s="106">
        <f t="shared" si="11"/>
        <v>43.053257741416374</v>
      </c>
      <c r="Q66" s="106">
        <f t="shared" si="11"/>
        <v>49.55235215800545</v>
      </c>
      <c r="R66" s="106">
        <f t="shared" si="11"/>
        <v>56.67921168788238</v>
      </c>
      <c r="S66" s="106">
        <f t="shared" si="11"/>
        <v>64.68514221398654</v>
      </c>
      <c r="T66" s="106">
        <f t="shared" si="11"/>
        <v>73.93693944427457</v>
      </c>
    </row>
    <row r="67" spans="2:20" ht="12.75">
      <c r="B67" s="109">
        <f>B65-0.1</f>
        <v>0.7000000000000001</v>
      </c>
      <c r="C67" s="106" t="s">
        <v>2</v>
      </c>
      <c r="F67" s="106">
        <f t="shared" si="8"/>
        <v>1.199067038535611</v>
      </c>
      <c r="G67" s="106">
        <f t="shared" si="8"/>
        <v>1.8558123631147272</v>
      </c>
      <c r="H67" s="106">
        <f t="shared" si="8"/>
        <v>2.8187401721956244</v>
      </c>
      <c r="I67" s="106">
        <f t="shared" si="8"/>
        <v>4.037953546927052</v>
      </c>
      <c r="J67" s="106">
        <f t="shared" si="8"/>
        <v>5.7044305519260865</v>
      </c>
      <c r="K67" s="106">
        <f t="shared" si="8"/>
        <v>7.955797308662894</v>
      </c>
      <c r="L67" s="106">
        <f t="shared" si="8"/>
        <v>10.965884064962339</v>
      </c>
      <c r="M67" s="106">
        <f t="shared" si="8"/>
        <v>14.954097479349752</v>
      </c>
      <c r="N67" s="106">
        <f t="shared" si="8"/>
        <v>20.19807284590844</v>
      </c>
      <c r="O67" s="106">
        <f t="shared" si="8"/>
        <v>27.051270927523234</v>
      </c>
      <c r="P67" s="106">
        <f t="shared" si="8"/>
        <v>35.9681858899943</v>
      </c>
      <c r="Q67" s="106">
        <f t="shared" si="8"/>
        <v>47.541534864586765</v>
      </c>
      <c r="R67" s="106">
        <f t="shared" si="8"/>
        <v>62.55880758117448</v>
      </c>
      <c r="S67" s="106">
        <f t="shared" si="8"/>
        <v>82.09109270212868</v>
      </c>
      <c r="T67" s="106">
        <f t="shared" si="8"/>
        <v>107.63779557316913</v>
      </c>
    </row>
    <row r="68" spans="3:20" ht="12.75">
      <c r="C68" s="106" t="s">
        <v>8</v>
      </c>
      <c r="F68" s="106">
        <f aca="true" t="shared" si="12" ref="F68:T68">(1.01*F$59+0.00186*F$59*F67)/1.01</f>
        <v>-10.022081828630457</v>
      </c>
      <c r="G68" s="106">
        <f t="shared" si="12"/>
        <v>-5.017088173244522</v>
      </c>
      <c r="H68" s="106">
        <f t="shared" si="12"/>
        <v>0</v>
      </c>
      <c r="I68" s="106">
        <f t="shared" si="12"/>
        <v>5.037181156422199</v>
      </c>
      <c r="J68" s="106">
        <f t="shared" si="12"/>
        <v>10.105051889372103</v>
      </c>
      <c r="K68" s="106">
        <f t="shared" si="12"/>
        <v>15.219769054368015</v>
      </c>
      <c r="L68" s="106">
        <f t="shared" si="12"/>
        <v>20.403891967541185</v>
      </c>
      <c r="M68" s="106">
        <f t="shared" si="12"/>
        <v>25.688480725534422</v>
      </c>
      <c r="N68" s="106">
        <f t="shared" si="12"/>
        <v>31.115893529506625</v>
      </c>
      <c r="O68" s="106">
        <f t="shared" si="12"/>
        <v>36.74360172017997</v>
      </c>
      <c r="P68" s="106">
        <f t="shared" si="12"/>
        <v>42.64953765367879</v>
      </c>
      <c r="Q68" s="106">
        <f t="shared" si="12"/>
        <v>48.93982818630288</v>
      </c>
      <c r="R68" s="106">
        <f t="shared" si="12"/>
        <v>55.760365450543794</v>
      </c>
      <c r="S68" s="106">
        <f t="shared" si="12"/>
        <v>63.31477107270075</v>
      </c>
      <c r="T68" s="106">
        <f t="shared" si="12"/>
        <v>71.89344355046107</v>
      </c>
    </row>
    <row r="69" spans="2:20" ht="12.75">
      <c r="B69" s="109">
        <f>B67-0.1</f>
        <v>0.6000000000000001</v>
      </c>
      <c r="C69" s="106" t="s">
        <v>2</v>
      </c>
      <c r="D69" s="106">
        <f>0.6222*$B69*D$60/(Tlak_vzduchu-$B69*D$60/1000)</f>
        <v>0.40762499440825367</v>
      </c>
      <c r="E69" s="106">
        <f t="shared" si="8"/>
        <v>0.6529663840180876</v>
      </c>
      <c r="F69" s="106">
        <f t="shared" si="8"/>
        <v>1.0274888736328025</v>
      </c>
      <c r="G69" s="106">
        <f t="shared" si="8"/>
        <v>1.5900188128322221</v>
      </c>
      <c r="H69" s="106">
        <f t="shared" si="8"/>
        <v>2.4145003815079136</v>
      </c>
      <c r="I69" s="106">
        <f t="shared" si="8"/>
        <v>3.457897174364682</v>
      </c>
      <c r="J69" s="106">
        <f t="shared" si="8"/>
        <v>4.883116301288696</v>
      </c>
      <c r="K69" s="106">
        <f t="shared" si="8"/>
        <v>6.806821146930022</v>
      </c>
      <c r="L69" s="106">
        <f t="shared" si="8"/>
        <v>9.375723308190892</v>
      </c>
      <c r="M69" s="106">
        <f t="shared" si="8"/>
        <v>12.773939013799161</v>
      </c>
      <c r="N69" s="106">
        <f t="shared" si="8"/>
        <v>17.23271751495737</v>
      </c>
      <c r="O69" s="106">
        <f t="shared" si="8"/>
        <v>23.043679982608502</v>
      </c>
      <c r="P69" s="106">
        <f t="shared" si="8"/>
        <v>30.577356732686056</v>
      </c>
      <c r="Q69" s="106">
        <f t="shared" si="8"/>
        <v>40.309882961444735</v>
      </c>
      <c r="R69" s="106">
        <f t="shared" si="8"/>
        <v>52.862543684490774</v>
      </c>
      <c r="S69" s="106">
        <f t="shared" si="8"/>
        <v>69.06210308333759</v>
      </c>
      <c r="T69" s="106">
        <f t="shared" si="8"/>
        <v>90.03585379275266</v>
      </c>
    </row>
    <row r="70" spans="3:20" ht="12.75">
      <c r="C70" s="106" t="s">
        <v>8</v>
      </c>
      <c r="D70" s="106">
        <f aca="true" t="shared" si="13" ref="D70:T70">(1.01*D$59+0.00186*D$59*D69)/1.01</f>
        <v>-20.01501351464553</v>
      </c>
      <c r="E70" s="106">
        <f t="shared" si="13"/>
        <v>-15.018037388231788</v>
      </c>
      <c r="F70" s="106">
        <f t="shared" si="13"/>
        <v>-10.018922072326307</v>
      </c>
      <c r="G70" s="106">
        <f t="shared" si="13"/>
        <v>-5.014640767286474</v>
      </c>
      <c r="H70" s="106">
        <f t="shared" si="13"/>
        <v>0</v>
      </c>
      <c r="I70" s="106">
        <f t="shared" si="13"/>
        <v>5.031840043288705</v>
      </c>
      <c r="J70" s="106">
        <f t="shared" si="13"/>
        <v>10.089926696241555</v>
      </c>
      <c r="K70" s="106">
        <f t="shared" si="13"/>
        <v>15.188030009900345</v>
      </c>
      <c r="L70" s="106">
        <f t="shared" si="13"/>
        <v>20.345323670361086</v>
      </c>
      <c r="M70" s="106">
        <f t="shared" si="13"/>
        <v>25.588107093209565</v>
      </c>
      <c r="N70" s="106">
        <f t="shared" si="13"/>
        <v>30.952064987460023</v>
      </c>
      <c r="O70" s="106">
        <f t="shared" si="13"/>
        <v>36.485290660265164</v>
      </c>
      <c r="P70" s="106">
        <f t="shared" si="13"/>
        <v>42.252431030605784</v>
      </c>
      <c r="Q70" s="106">
        <f t="shared" si="13"/>
        <v>48.3405318850227</v>
      </c>
      <c r="R70" s="106">
        <f t="shared" si="13"/>
        <v>54.86754115114618</v>
      </c>
      <c r="S70" s="106">
        <f t="shared" si="13"/>
        <v>61.995102124183596</v>
      </c>
      <c r="T70" s="106">
        <f t="shared" si="13"/>
        <v>69.94851612205069</v>
      </c>
    </row>
    <row r="71" spans="2:20" ht="12.75">
      <c r="B71" s="109">
        <f>B69-0.1</f>
        <v>0.5000000000000001</v>
      </c>
      <c r="C71" s="106" t="s">
        <v>2</v>
      </c>
      <c r="F71" s="106">
        <f t="shared" si="8"/>
        <v>0.8560051296810054</v>
      </c>
      <c r="G71" s="106">
        <f t="shared" si="8"/>
        <v>1.3244515760737172</v>
      </c>
      <c r="H71" s="106">
        <f t="shared" si="8"/>
        <v>2.0107831485566803</v>
      </c>
      <c r="I71" s="106">
        <f t="shared" si="8"/>
        <v>2.8789143682602814</v>
      </c>
      <c r="J71" s="106">
        <f t="shared" si="8"/>
        <v>4.06394784189296</v>
      </c>
      <c r="K71" s="106">
        <f t="shared" si="8"/>
        <v>5.662027263791288</v>
      </c>
      <c r="L71" s="106">
        <f t="shared" si="8"/>
        <v>7.793529742131546</v>
      </c>
      <c r="M71" s="106">
        <f t="shared" si="8"/>
        <v>10.608649424398145</v>
      </c>
      <c r="N71" s="106">
        <f t="shared" si="8"/>
        <v>14.294612975900844</v>
      </c>
      <c r="O71" s="106">
        <f t="shared" si="8"/>
        <v>19.085260311500072</v>
      </c>
      <c r="P71" s="106">
        <f t="shared" si="8"/>
        <v>25.27411899782637</v>
      </c>
      <c r="Q71" s="106">
        <f t="shared" si="8"/>
        <v>33.2327328621272</v>
      </c>
      <c r="R71" s="106">
        <f t="shared" si="8"/>
        <v>43.43704614092491</v>
      </c>
      <c r="S71" s="106">
        <f t="shared" si="8"/>
        <v>56.50641561980561</v>
      </c>
      <c r="T71" s="106">
        <f t="shared" si="8"/>
        <v>73.26295103436668</v>
      </c>
    </row>
    <row r="72" spans="3:20" ht="12.75">
      <c r="C72" s="106" t="s">
        <v>8</v>
      </c>
      <c r="F72" s="106">
        <f aca="true" t="shared" si="14" ref="F72:T72">(1.01*F$59+0.00186*F$59*F71)/1.01</f>
        <v>-10.015764054863432</v>
      </c>
      <c r="G72" s="106">
        <f t="shared" si="14"/>
        <v>-5.012195445205431</v>
      </c>
      <c r="H72" s="106">
        <f t="shared" si="14"/>
        <v>0</v>
      </c>
      <c r="I72" s="106">
        <f t="shared" si="14"/>
        <v>5.02650881547012</v>
      </c>
      <c r="J72" s="106">
        <f t="shared" si="14"/>
        <v>10.074841019662582</v>
      </c>
      <c r="K72" s="106">
        <f t="shared" si="14"/>
        <v>15.15640649570275</v>
      </c>
      <c r="L72" s="106">
        <f t="shared" si="14"/>
        <v>20.287048818225042</v>
      </c>
      <c r="M72" s="106">
        <f t="shared" si="14"/>
        <v>25.488418018053974</v>
      </c>
      <c r="N72" s="106">
        <f t="shared" si="14"/>
        <v>30.789741984213137</v>
      </c>
      <c r="O72" s="106">
        <f t="shared" si="14"/>
        <v>36.23014895671154</v>
      </c>
      <c r="P72" s="106">
        <f t="shared" si="14"/>
        <v>41.861776686572554</v>
      </c>
      <c r="Q72" s="106">
        <f t="shared" si="14"/>
        <v>47.75403934708916</v>
      </c>
      <c r="R72" s="106">
        <f t="shared" si="14"/>
        <v>53.99964880307527</v>
      </c>
      <c r="S72" s="106">
        <f t="shared" si="14"/>
        <v>60.72337259198625</v>
      </c>
      <c r="T72" s="106">
        <f t="shared" si="14"/>
        <v>68.09519340142111</v>
      </c>
    </row>
    <row r="73" spans="2:20" ht="12.75">
      <c r="B73" s="109">
        <f>B71-0.1</f>
        <v>0.40000000000000013</v>
      </c>
      <c r="C73" s="106" t="s">
        <v>2</v>
      </c>
      <c r="D73" s="106">
        <f>0.6222*$B73*D$60/(Tlak_vzduchu-$B73*D$60/1000)</f>
        <v>0.27169066491795946</v>
      </c>
      <c r="E73" s="106">
        <f t="shared" si="8"/>
        <v>0.4351586972415603</v>
      </c>
      <c r="F73" s="106">
        <f t="shared" si="8"/>
        <v>0.6846157287606579</v>
      </c>
      <c r="G73" s="106">
        <f t="shared" si="8"/>
        <v>1.059110363915636</v>
      </c>
      <c r="H73" s="106">
        <f t="shared" si="8"/>
        <v>1.6075874607367364</v>
      </c>
      <c r="I73" s="106">
        <f t="shared" si="8"/>
        <v>2.301002150939393</v>
      </c>
      <c r="J73" s="106">
        <f t="shared" si="8"/>
        <v>3.246916775467931</v>
      </c>
      <c r="K73" s="106">
        <f t="shared" si="8"/>
        <v>4.521392865461011</v>
      </c>
      <c r="L73" s="106">
        <f t="shared" si="8"/>
        <v>6.2192436393250885</v>
      </c>
      <c r="M73" s="106">
        <f t="shared" si="8"/>
        <v>8.458077117485754</v>
      </c>
      <c r="N73" s="106">
        <f t="shared" si="8"/>
        <v>11.38338530604838</v>
      </c>
      <c r="O73" s="106">
        <f t="shared" si="8"/>
        <v>15.175112469151824</v>
      </c>
      <c r="P73" s="106">
        <f t="shared" si="8"/>
        <v>20.056355080942424</v>
      </c>
      <c r="Q73" s="106">
        <f t="shared" si="8"/>
        <v>26.30518558083116</v>
      </c>
      <c r="R73" s="106">
        <f t="shared" si="8"/>
        <v>34.27112947706115</v>
      </c>
      <c r="S73" s="106">
        <f t="shared" si="8"/>
        <v>44.398700031379</v>
      </c>
      <c r="T73" s="106">
        <f t="shared" si="8"/>
        <v>57.26186415449832</v>
      </c>
    </row>
    <row r="74" spans="3:20" ht="12.75">
      <c r="C74" s="106" t="s">
        <v>8</v>
      </c>
      <c r="D74" s="106">
        <f aca="true" t="shared" si="15" ref="D74:T74">(1.01*D$59+0.00186*D$59*D73)/1.01</f>
        <v>-20.01000682449005</v>
      </c>
      <c r="E74" s="106">
        <f t="shared" si="15"/>
        <v>-15.012020720448554</v>
      </c>
      <c r="F74" s="106">
        <f t="shared" si="15"/>
        <v>-10.01260777480688</v>
      </c>
      <c r="G74" s="106">
        <f t="shared" si="15"/>
        <v>-5.009752204341005</v>
      </c>
      <c r="H74" s="106">
        <f t="shared" si="15"/>
        <v>0</v>
      </c>
      <c r="I74" s="106">
        <f>(1.01*I$59+0.00186*I$59*I73)/1.01</f>
        <v>5.021187445548254</v>
      </c>
      <c r="J74" s="106">
        <f t="shared" si="15"/>
        <v>10.059794704973962</v>
      </c>
      <c r="K74" s="106">
        <f t="shared" si="15"/>
        <v>15.124897882125111</v>
      </c>
      <c r="L74" s="106">
        <f t="shared" si="15"/>
        <v>20.229065211270193</v>
      </c>
      <c r="M74" s="106">
        <f t="shared" si="15"/>
        <v>25.389406520755532</v>
      </c>
      <c r="N74" s="106">
        <f t="shared" si="15"/>
        <v>30.62890386146287</v>
      </c>
      <c r="O74" s="106">
        <f t="shared" si="15"/>
        <v>35.97811863538791</v>
      </c>
      <c r="P74" s="106">
        <f t="shared" si="15"/>
        <v>41.47741863170506</v>
      </c>
      <c r="Q74" s="106">
        <f t="shared" si="15"/>
        <v>47.179944587243135</v>
      </c>
      <c r="R74" s="106">
        <f t="shared" si="15"/>
        <v>53.1556584567987</v>
      </c>
      <c r="S74" s="106">
        <f t="shared" si="15"/>
        <v>59.49701684476245</v>
      </c>
      <c r="T74" s="106">
        <f t="shared" si="15"/>
        <v>66.32715251449704</v>
      </c>
    </row>
    <row r="75" spans="2:20" ht="12.75">
      <c r="B75" s="109">
        <f>B73-0.1</f>
        <v>0.30000000000000016</v>
      </c>
      <c r="C75" s="106" t="s">
        <v>2</v>
      </c>
      <c r="F75" s="106">
        <f t="shared" si="8"/>
        <v>0.5133205930379113</v>
      </c>
      <c r="G75" s="106">
        <f t="shared" si="8"/>
        <v>0.7939948879259998</v>
      </c>
      <c r="H75" s="106">
        <f t="shared" si="8"/>
        <v>1.2049123080574862</v>
      </c>
      <c r="I75" s="106">
        <f t="shared" si="8"/>
        <v>1.7241575557293394</v>
      </c>
      <c r="J75" s="106">
        <f t="shared" si="8"/>
        <v>2.432014747511475</v>
      </c>
      <c r="K75" s="106">
        <f t="shared" si="8"/>
        <v>3.384895323490663</v>
      </c>
      <c r="L75" s="106">
        <f t="shared" si="8"/>
        <v>4.652805867834164</v>
      </c>
      <c r="M75" s="106">
        <f t="shared" si="8"/>
        <v>6.3220725531589315</v>
      </c>
      <c r="N75" s="106">
        <f t="shared" si="8"/>
        <v>8.498667392619645</v>
      </c>
      <c r="O75" s="106">
        <f t="shared" si="8"/>
        <v>11.312358814535846</v>
      </c>
      <c r="P75" s="106">
        <f t="shared" si="8"/>
        <v>14.92201509196381</v>
      </c>
      <c r="Q75" s="106">
        <f t="shared" si="8"/>
        <v>19.522547083389735</v>
      </c>
      <c r="R75" s="106">
        <f t="shared" si="8"/>
        <v>25.354215953135277</v>
      </c>
      <c r="S75" s="106">
        <f t="shared" si="8"/>
        <v>32.71540186624345</v>
      </c>
      <c r="T75" s="106">
        <f t="shared" si="8"/>
        <v>41.98051788748707</v>
      </c>
    </row>
    <row r="76" spans="3:20" ht="12.75">
      <c r="C76" s="106" t="s">
        <v>8</v>
      </c>
      <c r="F76" s="106">
        <f aca="true" t="shared" si="16" ref="F76:T76">(1.01*F$59+0.00186*F$59*F75)/1.01</f>
        <v>-10.009453230723272</v>
      </c>
      <c r="G76" s="106">
        <f t="shared" si="16"/>
        <v>-5.007311042037338</v>
      </c>
      <c r="H76" s="106">
        <f t="shared" si="16"/>
        <v>0</v>
      </c>
      <c r="I76" s="106">
        <f t="shared" si="16"/>
        <v>5.01587590620622</v>
      </c>
      <c r="J76" s="106">
        <f t="shared" si="16"/>
        <v>10.044787598320507</v>
      </c>
      <c r="K76" s="106">
        <f t="shared" si="16"/>
        <v>15.093503544084545</v>
      </c>
      <c r="L76" s="106">
        <f t="shared" si="16"/>
        <v>20.171370671567754</v>
      </c>
      <c r="M76" s="106">
        <f t="shared" si="16"/>
        <v>25.291065716556325</v>
      </c>
      <c r="N76" s="106">
        <f t="shared" si="16"/>
        <v>30.46953033713681</v>
      </c>
      <c r="O76" s="106">
        <f t="shared" si="16"/>
        <v>35.72914312755078</v>
      </c>
      <c r="P76" s="106">
        <f t="shared" si="16"/>
        <v>41.0992058642001</v>
      </c>
      <c r="Q76" s="106">
        <f t="shared" si="16"/>
        <v>46.61785860483141</v>
      </c>
      <c r="R76" s="106">
        <f t="shared" si="16"/>
        <v>52.33459612241741</v>
      </c>
      <c r="S76" s="106">
        <f t="shared" si="16"/>
        <v>58.31364911971951</v>
      </c>
      <c r="T76" s="106">
        <f t="shared" si="16"/>
        <v>64.63863940222134</v>
      </c>
    </row>
    <row r="77" spans="2:20" ht="12.75">
      <c r="B77" s="109">
        <f>B75-0.1</f>
        <v>0.20000000000000015</v>
      </c>
      <c r="C77" s="106" t="s">
        <v>2</v>
      </c>
      <c r="D77" s="106">
        <f>0.6222*$B77*D$60/(Tlak_vzduchu-$B77*D$60/1000)</f>
        <v>0.1358156797329006</v>
      </c>
      <c r="E77" s="106">
        <f t="shared" si="8"/>
        <v>0.21750328911584826</v>
      </c>
      <c r="F77" s="106">
        <f t="shared" si="8"/>
        <v>0.3421196447645112</v>
      </c>
      <c r="G77" s="106">
        <f t="shared" si="8"/>
        <v>0.5291048601633815</v>
      </c>
      <c r="H77" s="106">
        <f t="shared" si="8"/>
        <v>0.802756683134497</v>
      </c>
      <c r="I77" s="106">
        <f t="shared" si="8"/>
        <v>1.148377626908457</v>
      </c>
      <c r="J77" s="106">
        <f t="shared" si="8"/>
        <v>1.6192334470055176</v>
      </c>
      <c r="K77" s="106">
        <f t="shared" si="8"/>
        <v>2.2525121732724562</v>
      </c>
      <c r="L77" s="106">
        <f t="shared" si="8"/>
        <v>3.0941578838395496</v>
      </c>
      <c r="M77" s="106">
        <f t="shared" si="8"/>
        <v>4.2004882106101</v>
      </c>
      <c r="N77" s="106">
        <f t="shared" si="8"/>
        <v>5.640098778418829</v>
      </c>
      <c r="O77" s="106">
        <f t="shared" si="8"/>
        <v>7.4961428539161545</v>
      </c>
      <c r="P77" s="106">
        <f t="shared" si="8"/>
        <v>9.86911417006841</v>
      </c>
      <c r="Q77" s="106">
        <f t="shared" si="8"/>
        <v>12.880317680384588</v>
      </c>
      <c r="R77" s="106">
        <f t="shared" si="8"/>
        <v>16.676294841620564</v>
      </c>
      <c r="S77" s="106">
        <f t="shared" si="8"/>
        <v>21.434589559138622</v>
      </c>
      <c r="T77" s="106">
        <f t="shared" si="8"/>
        <v>27.371418690269035</v>
      </c>
    </row>
    <row r="78" spans="3:20" ht="12.75">
      <c r="C78" s="106" t="s">
        <v>8</v>
      </c>
      <c r="D78" s="106">
        <f aca="true" t="shared" si="17" ref="D78:T78">(1.01*D$59+0.00186*D$59*D77)/1.01</f>
        <v>-20.00500232008521</v>
      </c>
      <c r="E78" s="106">
        <f t="shared" si="17"/>
        <v>-15.006008259174585</v>
      </c>
      <c r="F78" s="106">
        <f t="shared" si="17"/>
        <v>-10.00630042118081</v>
      </c>
      <c r="G78" s="106">
        <f t="shared" si="17"/>
        <v>-5.004871955643089</v>
      </c>
      <c r="H78" s="106">
        <f t="shared" si="17"/>
        <v>0</v>
      </c>
      <c r="I78" s="106">
        <f t="shared" si="17"/>
        <v>5.010574170227969</v>
      </c>
      <c r="J78" s="106">
        <f t="shared" si="17"/>
        <v>10.029819546647824</v>
      </c>
      <c r="K78" s="106">
        <f t="shared" si="17"/>
        <v>15.062222861024061</v>
      </c>
      <c r="L78" s="106">
        <f t="shared" si="17"/>
        <v>20.113963042850326</v>
      </c>
      <c r="M78" s="106">
        <f t="shared" si="17"/>
        <v>25.1933888136568</v>
      </c>
      <c r="N78" s="106">
        <f t="shared" si="17"/>
        <v>30.311601496867098</v>
      </c>
      <c r="O78" s="106">
        <f t="shared" si="17"/>
        <v>35.4831672275148</v>
      </c>
      <c r="P78" s="106">
        <f t="shared" si="17"/>
        <v>40.72699217252781</v>
      </c>
      <c r="Q78" s="106">
        <f t="shared" si="17"/>
        <v>46.06740850480019</v>
      </c>
      <c r="R78" s="106">
        <f t="shared" si="17"/>
        <v>51.535540020070016</v>
      </c>
      <c r="S78" s="106">
        <f t="shared" si="17"/>
        <v>57.171048031584036</v>
      </c>
      <c r="T78" s="106">
        <f t="shared" si="17"/>
        <v>63.024406263202</v>
      </c>
    </row>
    <row r="79" spans="2:20" ht="12.75">
      <c r="B79" s="109">
        <f>B77-0.1</f>
        <v>0.10000000000000014</v>
      </c>
      <c r="C79" s="106" t="s">
        <v>2</v>
      </c>
      <c r="F79" s="106">
        <f t="shared" si="8"/>
        <v>0.17101280627768012</v>
      </c>
      <c r="G79" s="106">
        <f t="shared" si="8"/>
        <v>0.2644399931758641</v>
      </c>
      <c r="H79" s="106">
        <f t="shared" si="8"/>
        <v>0.4011195811810954</v>
      </c>
      <c r="I79" s="106">
        <f t="shared" si="8"/>
        <v>0.5736594196556128</v>
      </c>
      <c r="J79" s="106">
        <f t="shared" si="8"/>
        <v>0.8085646061334922</v>
      </c>
      <c r="K79" s="106">
        <f t="shared" si="8"/>
        <v>1.124221112559172</v>
      </c>
      <c r="L79" s="106">
        <f t="shared" si="8"/>
        <v>1.5432417243466023</v>
      </c>
      <c r="M79" s="106">
        <f t="shared" si="8"/>
        <v>2.093178554164365</v>
      </c>
      <c r="N79" s="106">
        <f t="shared" si="8"/>
        <v>2.807325511686844</v>
      </c>
      <c r="O79" s="106">
        <f t="shared" si="8"/>
        <v>3.725628607716614</v>
      </c>
      <c r="P79" s="106">
        <f t="shared" si="8"/>
        <v>4.89572992529573</v>
      </c>
      <c r="Q79" s="106">
        <f t="shared" si="8"/>
        <v>6.374182072237436</v>
      </c>
      <c r="R79" s="106">
        <f t="shared" si="8"/>
        <v>8.227884936778905</v>
      </c>
      <c r="S79" s="106">
        <f t="shared" si="8"/>
        <v>10.53581702830612</v>
      </c>
      <c r="T79" s="106">
        <f t="shared" si="8"/>
        <v>13.39116169682774</v>
      </c>
    </row>
    <row r="80" spans="3:20" ht="12.75">
      <c r="C80" s="106" t="s">
        <v>8</v>
      </c>
      <c r="F80" s="106">
        <f aca="true" t="shared" si="18" ref="F80:T80">(1.01*F$59+0.00186*F$59*F79)/1.01</f>
        <v>-10.003149344749273</v>
      </c>
      <c r="G80" s="106">
        <f t="shared" si="18"/>
        <v>-5.002434942511421</v>
      </c>
      <c r="H80" s="106">
        <f t="shared" si="18"/>
        <v>0</v>
      </c>
      <c r="I80" s="106">
        <f t="shared" si="18"/>
        <v>5.005282210497819</v>
      </c>
      <c r="J80" s="106">
        <f t="shared" si="18"/>
        <v>10.014890397697112</v>
      </c>
      <c r="K80" s="106">
        <f t="shared" si="18"/>
        <v>15.031055216871684</v>
      </c>
      <c r="L80" s="106">
        <f t="shared" si="18"/>
        <v>20.05684019024326</v>
      </c>
      <c r="M80" s="106">
        <f t="shared" si="18"/>
        <v>25.096369111652123</v>
      </c>
      <c r="N80" s="106">
        <f t="shared" si="18"/>
        <v>30.155097785695176</v>
      </c>
      <c r="O80" s="106">
        <f t="shared" si="18"/>
        <v>35.24013705184392</v>
      </c>
      <c r="P80" s="106">
        <f t="shared" si="18"/>
        <v>40.36063594697228</v>
      </c>
      <c r="Q80" s="106">
        <f t="shared" si="18"/>
        <v>45.52823667271909</v>
      </c>
      <c r="R80" s="106">
        <f t="shared" si="18"/>
        <v>50.75761712784202</v>
      </c>
      <c r="S80" s="106">
        <f t="shared" si="18"/>
        <v>56.0671426554413</v>
      </c>
      <c r="T80" s="106">
        <f t="shared" si="18"/>
        <v>61.47965707461978</v>
      </c>
    </row>
    <row r="82" ht="12.75">
      <c r="A82" s="106" t="s">
        <v>48</v>
      </c>
    </row>
  </sheetData>
  <printOptions/>
  <pageMargins left="0.75" right="0.75" top="1" bottom="1" header="0.4921259845" footer="0.49212598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C.I.C. Jan Hrebec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Hrebec</dc:creator>
  <cp:keywords/>
  <dc:description/>
  <cp:lastModifiedBy>BruhS</cp:lastModifiedBy>
  <cp:lastPrinted>1999-12-21T08:21:09Z</cp:lastPrinted>
  <dcterms:created xsi:type="dcterms:W3CDTF">1998-12-02T15:37:01Z</dcterms:created>
  <dcterms:modified xsi:type="dcterms:W3CDTF">2002-12-19T11:41:38Z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-1639465731</vt:i4>
  </property>
  <property fmtid="{D5CDD505-2E9C-101B-9397-08002B2CF9AE}" pid="4" name="_EmailSubje">
    <vt:lpwstr>I-d диаграмма.</vt:lpwstr>
  </property>
  <property fmtid="{D5CDD505-2E9C-101B-9397-08002B2CF9AE}" pid="5" name="_AuthorEma">
    <vt:lpwstr>SBruh@permoil.ru</vt:lpwstr>
  </property>
  <property fmtid="{D5CDD505-2E9C-101B-9397-08002B2CF9AE}" pid="6" name="_AuthorEmailDisplayNa">
    <vt:lpwstr>Брух Сергей Викторович</vt:lpwstr>
  </property>
</Properties>
</file>